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ymcamke-my.sharepoint.com/personal/spiaskoski_ymcamke_org/Documents/Notebooks/SMART GOALS_2019_SHANA/7.12 and 7.19/"/>
    </mc:Choice>
  </mc:AlternateContent>
  <xr:revisionPtr revIDLastSave="0" documentId="8_{6816E698-43DD-4F93-8E14-5AEBA79472FA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7.10 update" sheetId="25" r:id="rId1"/>
    <sheet name="7.10 summary" sheetId="27" r:id="rId2"/>
    <sheet name="Final" sheetId="23" r:id="rId3"/>
    <sheet name="Option 1" sheetId="19" r:id="rId4"/>
    <sheet name="Option 2" sheetId="22" r:id="rId5"/>
    <sheet name="Option 3" sheetId="21" r:id="rId6"/>
  </sheets>
  <definedNames>
    <definedName name="_2019_Proposals_All_7" localSheetId="0">#REF!</definedName>
    <definedName name="_2019_Proposals_All_7" localSheetId="2">#REF!</definedName>
    <definedName name="_2019_Proposals_All_7" localSheetId="4">#REF!</definedName>
    <definedName name="_2019_Proposals_All_7" localSheetId="5">#REF!</definedName>
    <definedName name="_2019_Proposals_All_7">#REF!</definedName>
    <definedName name="_xlnm.Print_Area" localSheetId="0">'7.10 update'!$A:$N</definedName>
    <definedName name="_xlnm.Print_Area" localSheetId="2">Final!$A:$N</definedName>
    <definedName name="_xlnm.Print_Area" localSheetId="3">'Option 1'!$A:$N</definedName>
    <definedName name="_xlnm.Print_Area" localSheetId="4">'Option 2'!$A:$N</definedName>
    <definedName name="_xlnm.Print_Area" localSheetId="5">'Option 3'!$A:$N</definedName>
    <definedName name="_xlnm.Print_Titles" localSheetId="0">'7.10 update'!$1:$1</definedName>
    <definedName name="_xlnm.Print_Titles" localSheetId="2">Final!$1:$1</definedName>
    <definedName name="_xlnm.Print_Titles" localSheetId="3">'Option 1'!$1:$1</definedName>
    <definedName name="_xlnm.Print_Titles" localSheetId="4">'Option 2'!$1:$1</definedName>
    <definedName name="_xlnm.Print_Titles" localSheetId="5">'Option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7" l="1"/>
  <c r="M14" i="25"/>
  <c r="M4" i="25"/>
  <c r="L4" i="25"/>
  <c r="B6" i="27" l="1"/>
  <c r="B22" i="27"/>
  <c r="B40" i="27" l="1"/>
  <c r="B36" i="27"/>
  <c r="K37" i="25"/>
  <c r="K36" i="25"/>
  <c r="B18" i="27"/>
  <c r="K21" i="25"/>
  <c r="B21" i="27" l="1"/>
  <c r="B35" i="27"/>
  <c r="B38" i="27" s="1"/>
  <c r="B42" i="27" l="1"/>
  <c r="B20" i="27" l="1"/>
  <c r="N28" i="25"/>
  <c r="M13" i="25" l="1"/>
  <c r="L21" i="25"/>
  <c r="M21" i="25"/>
  <c r="L13" i="25" l="1"/>
  <c r="J21" i="25" l="1"/>
  <c r="J37" i="25" s="1"/>
  <c r="I21" i="25"/>
  <c r="I37" i="25" s="1"/>
  <c r="K41" i="25"/>
  <c r="D41" i="25"/>
  <c r="B41" i="25"/>
  <c r="B37" i="25"/>
  <c r="J36" i="25"/>
  <c r="D36" i="25"/>
  <c r="C36" i="25"/>
  <c r="B36" i="25"/>
  <c r="N33" i="25"/>
  <c r="N32" i="25"/>
  <c r="N31" i="25"/>
  <c r="N27" i="25"/>
  <c r="M26" i="25"/>
  <c r="N26" i="25" s="1"/>
  <c r="H21" i="25"/>
  <c r="H37" i="25" s="1"/>
  <c r="G21" i="25"/>
  <c r="G37" i="25" s="1"/>
  <c r="F21" i="25"/>
  <c r="F37" i="25" s="1"/>
  <c r="E21" i="25"/>
  <c r="E37" i="25" s="1"/>
  <c r="D21" i="25"/>
  <c r="D37" i="25" s="1"/>
  <c r="C21" i="25"/>
  <c r="M20" i="25"/>
  <c r="M36" i="25" s="1"/>
  <c r="L20" i="25"/>
  <c r="L36" i="25" s="1"/>
  <c r="K20" i="25"/>
  <c r="I20" i="25"/>
  <c r="I36" i="25" s="1"/>
  <c r="H20" i="25"/>
  <c r="H36" i="25" s="1"/>
  <c r="G20" i="25"/>
  <c r="G36" i="25" s="1"/>
  <c r="F20" i="25"/>
  <c r="F36" i="25" s="1"/>
  <c r="E20" i="25"/>
  <c r="M19" i="25"/>
  <c r="L19" i="25"/>
  <c r="L41" i="25" s="1"/>
  <c r="J19" i="25"/>
  <c r="J41" i="25" s="1"/>
  <c r="I19" i="25"/>
  <c r="I41" i="25" s="1"/>
  <c r="H19" i="25"/>
  <c r="H41" i="25" s="1"/>
  <c r="G19" i="25"/>
  <c r="G41" i="25" s="1"/>
  <c r="F19" i="25"/>
  <c r="F41" i="25" s="1"/>
  <c r="E19" i="25"/>
  <c r="E41" i="25" s="1"/>
  <c r="C19" i="25"/>
  <c r="C41" i="25" s="1"/>
  <c r="N14" i="25"/>
  <c r="N13" i="25"/>
  <c r="M12" i="25"/>
  <c r="N12" i="25" s="1"/>
  <c r="N4" i="25"/>
  <c r="N3" i="25"/>
  <c r="N2" i="25"/>
  <c r="L37" i="25" l="1"/>
  <c r="M37" i="25"/>
  <c r="N20" i="25"/>
  <c r="N36" i="25" s="1"/>
  <c r="N21" i="25"/>
  <c r="M41" i="25"/>
  <c r="N41" i="25" s="1"/>
  <c r="E36" i="25"/>
  <c r="B44" i="25"/>
  <c r="C37" i="25"/>
  <c r="H44" i="25" s="1"/>
  <c r="B39" i="25"/>
  <c r="N19" i="25"/>
  <c r="B43" i="25"/>
  <c r="C43" i="25" s="1"/>
  <c r="D43" i="25" s="1"/>
  <c r="E43" i="25" s="1"/>
  <c r="F43" i="25" s="1"/>
  <c r="G43" i="25" s="1"/>
  <c r="H43" i="25" s="1"/>
  <c r="N44" i="23"/>
  <c r="N43" i="23"/>
  <c r="M26" i="23"/>
  <c r="M12" i="23"/>
  <c r="N31" i="23"/>
  <c r="M41" i="23"/>
  <c r="M43" i="23" s="1"/>
  <c r="N27" i="23"/>
  <c r="N26" i="23"/>
  <c r="N19" i="23"/>
  <c r="N12" i="23"/>
  <c r="N2" i="23"/>
  <c r="M19" i="23"/>
  <c r="L44" i="23"/>
  <c r="L43" i="23"/>
  <c r="L41" i="23"/>
  <c r="L19" i="23"/>
  <c r="J44" i="23"/>
  <c r="I44" i="23"/>
  <c r="H44" i="23"/>
  <c r="G44" i="23"/>
  <c r="F44" i="23"/>
  <c r="E44" i="23"/>
  <c r="D44" i="23"/>
  <c r="C44" i="23"/>
  <c r="B44" i="23"/>
  <c r="I43" i="23"/>
  <c r="H43" i="23"/>
  <c r="K41" i="23"/>
  <c r="K44" i="23" s="1"/>
  <c r="J43" i="23"/>
  <c r="J41" i="23"/>
  <c r="J19" i="23"/>
  <c r="I41" i="23"/>
  <c r="I19" i="23"/>
  <c r="B43" i="23"/>
  <c r="H41" i="23"/>
  <c r="H19" i="23"/>
  <c r="G41" i="23"/>
  <c r="G19" i="23"/>
  <c r="F41" i="23"/>
  <c r="F19" i="23"/>
  <c r="E41" i="23"/>
  <c r="E19" i="23"/>
  <c r="D41" i="23"/>
  <c r="C19" i="23"/>
  <c r="C41" i="23"/>
  <c r="B41" i="23"/>
  <c r="N37" i="25" l="1"/>
  <c r="N39" i="25" s="1"/>
  <c r="I43" i="25"/>
  <c r="J43" i="25" s="1"/>
  <c r="K43" i="25" s="1"/>
  <c r="L43" i="25" s="1"/>
  <c r="M43" i="25" s="1"/>
  <c r="M44" i="25"/>
  <c r="N44" i="25" s="1"/>
  <c r="L44" i="25"/>
  <c r="I44" i="25"/>
  <c r="G44" i="25"/>
  <c r="F44" i="25"/>
  <c r="C39" i="25"/>
  <c r="D39" i="25" s="1"/>
  <c r="E39" i="25" s="1"/>
  <c r="F39" i="25" s="1"/>
  <c r="G39" i="25" s="1"/>
  <c r="H39" i="25" s="1"/>
  <c r="I39" i="25" s="1"/>
  <c r="J39" i="25" s="1"/>
  <c r="K39" i="25" s="1"/>
  <c r="L39" i="25" s="1"/>
  <c r="M39" i="25" s="1"/>
  <c r="K44" i="25"/>
  <c r="E44" i="25"/>
  <c r="C44" i="25"/>
  <c r="D44" i="25"/>
  <c r="J44" i="25"/>
  <c r="N41" i="23"/>
  <c r="M44" i="23"/>
  <c r="K43" i="23"/>
  <c r="C43" i="23"/>
  <c r="D43" i="23" s="1"/>
  <c r="E43" i="23" s="1"/>
  <c r="F43" i="23" s="1"/>
  <c r="G43" i="23" s="1"/>
  <c r="M4" i="23"/>
  <c r="K4" i="23"/>
  <c r="L4" i="23"/>
  <c r="H21" i="23"/>
  <c r="N4" i="23"/>
  <c r="K37" i="23"/>
  <c r="J37" i="23"/>
  <c r="B37" i="23"/>
  <c r="M36" i="23"/>
  <c r="L36" i="23"/>
  <c r="J36" i="23"/>
  <c r="I36" i="23"/>
  <c r="H36" i="23"/>
  <c r="E36" i="23"/>
  <c r="D36" i="23"/>
  <c r="C36" i="23"/>
  <c r="B36" i="23"/>
  <c r="B39" i="23" s="1"/>
  <c r="N33" i="23"/>
  <c r="N32" i="23"/>
  <c r="N36" i="23" s="1"/>
  <c r="N39" i="23" s="1"/>
  <c r="N28" i="23"/>
  <c r="M21" i="23"/>
  <c r="L21" i="23"/>
  <c r="K21" i="23"/>
  <c r="I21" i="23"/>
  <c r="I37" i="23" s="1"/>
  <c r="H37" i="23"/>
  <c r="G21" i="23"/>
  <c r="G37" i="23" s="1"/>
  <c r="F21" i="23"/>
  <c r="F37" i="23" s="1"/>
  <c r="E21" i="23"/>
  <c r="E37" i="23" s="1"/>
  <c r="D21" i="23"/>
  <c r="D37" i="23" s="1"/>
  <c r="C21" i="23"/>
  <c r="N21" i="23" s="1"/>
  <c r="M20" i="23"/>
  <c r="L20" i="23"/>
  <c r="K20" i="23"/>
  <c r="K36" i="23" s="1"/>
  <c r="I20" i="23"/>
  <c r="H20" i="23"/>
  <c r="G20" i="23"/>
  <c r="G36" i="23" s="1"/>
  <c r="F20" i="23"/>
  <c r="F36" i="23" s="1"/>
  <c r="E20" i="23"/>
  <c r="N20" i="23" s="1"/>
  <c r="N14" i="23"/>
  <c r="N13" i="23"/>
  <c r="N3" i="23"/>
  <c r="N43" i="25" l="1"/>
  <c r="M37" i="23"/>
  <c r="L37" i="23"/>
  <c r="C37" i="23"/>
  <c r="C39" i="23" s="1"/>
  <c r="D39" i="23" s="1"/>
  <c r="E39" i="23" s="1"/>
  <c r="F39" i="23" s="1"/>
  <c r="G39" i="23" s="1"/>
  <c r="H39" i="23" s="1"/>
  <c r="I39" i="23" s="1"/>
  <c r="J39" i="23" s="1"/>
  <c r="K39" i="23" s="1"/>
  <c r="L39" i="23" s="1"/>
  <c r="K3" i="22"/>
  <c r="M3" i="22"/>
  <c r="N3" i="22" s="1"/>
  <c r="K3" i="21"/>
  <c r="M11" i="21"/>
  <c r="L11" i="21"/>
  <c r="J32" i="22"/>
  <c r="B32" i="22"/>
  <c r="B34" i="22" s="1"/>
  <c r="K31" i="22"/>
  <c r="J31" i="22"/>
  <c r="G31" i="22"/>
  <c r="D31" i="22"/>
  <c r="C31" i="22"/>
  <c r="B31" i="22"/>
  <c r="N28" i="22"/>
  <c r="N27" i="22"/>
  <c r="N31" i="22" s="1"/>
  <c r="N24" i="22"/>
  <c r="M18" i="22"/>
  <c r="L18" i="22"/>
  <c r="L32" i="22" s="1"/>
  <c r="K18" i="22"/>
  <c r="I18" i="22"/>
  <c r="I32" i="22" s="1"/>
  <c r="H18" i="22"/>
  <c r="H32" i="22" s="1"/>
  <c r="G18" i="22"/>
  <c r="G32" i="22" s="1"/>
  <c r="F18" i="22"/>
  <c r="F32" i="22" s="1"/>
  <c r="E18" i="22"/>
  <c r="E32" i="22" s="1"/>
  <c r="D18" i="22"/>
  <c r="D32" i="22" s="1"/>
  <c r="C18" i="22"/>
  <c r="C32" i="22" s="1"/>
  <c r="N17" i="22"/>
  <c r="M17" i="22"/>
  <c r="M31" i="22" s="1"/>
  <c r="L17" i="22"/>
  <c r="L31" i="22" s="1"/>
  <c r="K17" i="22"/>
  <c r="I17" i="22"/>
  <c r="I31" i="22" s="1"/>
  <c r="H17" i="22"/>
  <c r="H31" i="22" s="1"/>
  <c r="G17" i="22"/>
  <c r="F17" i="22"/>
  <c r="F31" i="22" s="1"/>
  <c r="E17" i="22"/>
  <c r="E31" i="22" s="1"/>
  <c r="N11" i="22"/>
  <c r="N10" i="22"/>
  <c r="N2" i="22"/>
  <c r="M3" i="21"/>
  <c r="M39" i="23" l="1"/>
  <c r="N37" i="23"/>
  <c r="K32" i="22"/>
  <c r="N32" i="22" s="1"/>
  <c r="N34" i="22" s="1"/>
  <c r="M32" i="22"/>
  <c r="C34" i="22"/>
  <c r="D34" i="22" s="1"/>
  <c r="E34" i="22" s="1"/>
  <c r="F34" i="22" s="1"/>
  <c r="G34" i="22" s="1"/>
  <c r="H34" i="22" s="1"/>
  <c r="I34" i="22" s="1"/>
  <c r="J34" i="22" s="1"/>
  <c r="N18" i="22"/>
  <c r="K34" i="22" l="1"/>
  <c r="L34" i="22" s="1"/>
  <c r="M34" i="22" s="1"/>
  <c r="M32" i="21" l="1"/>
  <c r="J32" i="21"/>
  <c r="B32" i="21"/>
  <c r="L31" i="21"/>
  <c r="K31" i="21"/>
  <c r="J31" i="21"/>
  <c r="G31" i="21"/>
  <c r="F31" i="21"/>
  <c r="D31" i="21"/>
  <c r="C31" i="21"/>
  <c r="B31" i="21"/>
  <c r="N28" i="21"/>
  <c r="N27" i="21"/>
  <c r="N24" i="21"/>
  <c r="M18" i="21"/>
  <c r="L18" i="21"/>
  <c r="L32" i="21" s="1"/>
  <c r="K18" i="21"/>
  <c r="K32" i="21" s="1"/>
  <c r="I18" i="21"/>
  <c r="I32" i="21" s="1"/>
  <c r="H18" i="21"/>
  <c r="H32" i="21" s="1"/>
  <c r="G18" i="21"/>
  <c r="G32" i="21" s="1"/>
  <c r="F18" i="21"/>
  <c r="F32" i="21" s="1"/>
  <c r="E18" i="21"/>
  <c r="E32" i="21" s="1"/>
  <c r="D18" i="21"/>
  <c r="D32" i="21" s="1"/>
  <c r="C18" i="21"/>
  <c r="C32" i="21" s="1"/>
  <c r="M17" i="21"/>
  <c r="M31" i="21" s="1"/>
  <c r="L17" i="21"/>
  <c r="K17" i="21"/>
  <c r="I17" i="21"/>
  <c r="I31" i="21" s="1"/>
  <c r="H17" i="21"/>
  <c r="H31" i="21" s="1"/>
  <c r="G17" i="21"/>
  <c r="F17" i="21"/>
  <c r="E17" i="21"/>
  <c r="E31" i="21" s="1"/>
  <c r="N11" i="21"/>
  <c r="N10" i="21"/>
  <c r="N3" i="21"/>
  <c r="N2" i="21"/>
  <c r="G31" i="19"/>
  <c r="N31" i="19"/>
  <c r="M31" i="19"/>
  <c r="B32" i="19"/>
  <c r="B34" i="21" l="1"/>
  <c r="C34" i="21"/>
  <c r="D34" i="21"/>
  <c r="E34" i="21" s="1"/>
  <c r="F34" i="21" s="1"/>
  <c r="G34" i="21" s="1"/>
  <c r="H34" i="21" s="1"/>
  <c r="I34" i="21" s="1"/>
  <c r="J34" i="21" s="1"/>
  <c r="K34" i="21" s="1"/>
  <c r="L34" i="21" s="1"/>
  <c r="M34" i="21" s="1"/>
  <c r="N18" i="21"/>
  <c r="N17" i="21"/>
  <c r="N31" i="21" s="1"/>
  <c r="N32" i="21"/>
  <c r="N34" i="21" s="1"/>
  <c r="L31" i="19" l="1"/>
  <c r="K31" i="19"/>
  <c r="J31" i="19"/>
  <c r="I31" i="19"/>
  <c r="H31" i="19"/>
  <c r="F31" i="19"/>
  <c r="E31" i="19"/>
  <c r="D31" i="19"/>
  <c r="C31" i="19"/>
  <c r="B31" i="19"/>
  <c r="M32" i="19"/>
  <c r="L32" i="19"/>
  <c r="K32" i="19"/>
  <c r="J32" i="19"/>
  <c r="I32" i="19"/>
  <c r="H32" i="19"/>
  <c r="G32" i="19"/>
  <c r="F32" i="19"/>
  <c r="E32" i="19"/>
  <c r="D32" i="19"/>
  <c r="C32" i="19"/>
  <c r="N32" i="19" s="1"/>
  <c r="H17" i="19"/>
  <c r="N2" i="19"/>
  <c r="N24" i="19"/>
  <c r="I18" i="19" l="1"/>
  <c r="H18" i="19"/>
  <c r="K3" i="19" l="1"/>
  <c r="N3" i="19" l="1"/>
  <c r="N11" i="19"/>
  <c r="G17" i="19"/>
  <c r="F17" i="19"/>
  <c r="F18" i="19"/>
  <c r="B34" i="19"/>
  <c r="C34" i="19" s="1"/>
  <c r="D34" i="19" s="1"/>
  <c r="E34" i="19" s="1"/>
  <c r="F34" i="19" s="1"/>
  <c r="G34" i="19" s="1"/>
  <c r="G18" i="19"/>
  <c r="M18" i="19"/>
  <c r="L18" i="19"/>
  <c r="K18" i="19"/>
  <c r="E18" i="19"/>
  <c r="D18" i="19"/>
  <c r="N28" i="19"/>
  <c r="C18" i="19" l="1"/>
  <c r="N27" i="19"/>
  <c r="I17" i="19"/>
  <c r="M17" i="19"/>
  <c r="L17" i="19"/>
  <c r="K17" i="19"/>
  <c r="E17" i="19"/>
  <c r="N10" i="19"/>
  <c r="N18" i="19" l="1"/>
  <c r="N17" i="19"/>
  <c r="N34" i="19" l="1"/>
  <c r="H34" i="19"/>
  <c r="I34" i="19" s="1"/>
  <c r="J34" i="19" s="1"/>
  <c r="K34" i="19" s="1"/>
  <c r="L34" i="19" s="1"/>
  <c r="M34" i="19" s="1"/>
</calcChain>
</file>

<file path=xl/sharedStrings.xml><?xml version="1.0" encoding="utf-8"?>
<sst xmlns="http://schemas.openxmlformats.org/spreadsheetml/2006/main" count="497" uniqueCount="136">
  <si>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</si>
  <si>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</si>
  <si>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</si>
  <si>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</si>
  <si>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</si>
  <si>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</si>
  <si>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</si>
  <si>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</si>
  <si>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</si>
  <si>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</si>
  <si>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</si>
  <si>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</si>
  <si>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</si>
  <si>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Contributions Budget</t>
  </si>
  <si>
    <t>Release Budget</t>
  </si>
  <si>
    <t>Special Events Net Budget</t>
  </si>
  <si>
    <t>United Way Allocation Budget</t>
  </si>
  <si>
    <t>United Way Allocation Actual</t>
  </si>
  <si>
    <t>Weyenburg Trust $15,000</t>
  </si>
  <si>
    <t>Cudahy Fund $10,000</t>
  </si>
  <si>
    <t>NM $50,000</t>
  </si>
  <si>
    <t>MLM $32,000</t>
  </si>
  <si>
    <t>New NM gift</t>
  </si>
  <si>
    <t>Sen. Kohl $100,000</t>
  </si>
  <si>
    <t>YUSA HWYC $10,000</t>
  </si>
  <si>
    <t>YUSA Walmart $10,000</t>
  </si>
  <si>
    <t>Total Budget</t>
  </si>
  <si>
    <t>We Energies $25,000</t>
  </si>
  <si>
    <t>Zilber $100,000</t>
  </si>
  <si>
    <t>YUSA BPSM $14,500</t>
  </si>
  <si>
    <t>We Energies $20,000</t>
  </si>
  <si>
    <t>160th Event, MLK Breakfast, Black College Tour, Teen Summit, Pancake Breakfast, Rite Hite Golf, Achievers Breakfast, Minikani 100th</t>
  </si>
  <si>
    <t>Harley-Davidson $25,000 BCT</t>
  </si>
  <si>
    <t>Running Variance</t>
  </si>
  <si>
    <r>
      <t>Contributions Actual/</t>
    </r>
    <r>
      <rPr>
        <sz val="10"/>
        <rFont val="Calibri"/>
        <family val="2"/>
        <scheme val="minor"/>
      </rPr>
      <t>Forecast</t>
    </r>
  </si>
  <si>
    <r>
      <t>Release Actual/</t>
    </r>
    <r>
      <rPr>
        <sz val="10"/>
        <rFont val="Calibri"/>
        <family val="2"/>
        <scheme val="minor"/>
      </rPr>
      <t>Forecast</t>
    </r>
  </si>
  <si>
    <r>
      <t>Special Events Net Actual/</t>
    </r>
    <r>
      <rPr>
        <sz val="10"/>
        <rFont val="Calibri"/>
        <family val="2"/>
        <scheme val="minor"/>
      </rPr>
      <t>Forecast</t>
    </r>
  </si>
  <si>
    <r>
      <rPr>
        <sz val="10"/>
        <color rgb="FF00B050"/>
        <rFont val="Calibri"/>
        <family val="2"/>
        <scheme val="minor"/>
      </rPr>
      <t>Total Actual/</t>
    </r>
    <r>
      <rPr>
        <sz val="10"/>
        <rFont val="Calibri"/>
        <family val="2"/>
        <scheme val="minor"/>
      </rPr>
      <t>Forecast</t>
    </r>
  </si>
  <si>
    <t>Minikani 100th</t>
  </si>
  <si>
    <t>Last Fiscal Year Total</t>
  </si>
  <si>
    <t>NM $125,000</t>
  </si>
  <si>
    <t>Herzfeld $40,000</t>
  </si>
  <si>
    <t>GMF $25,000</t>
  </si>
  <si>
    <t>Grants Budget</t>
  </si>
  <si>
    <r>
      <rPr>
        <sz val="10"/>
        <color rgb="FF00B050"/>
        <rFont val="Calibri"/>
        <family val="2"/>
        <scheme val="minor"/>
      </rPr>
      <t>Grants Actual/</t>
    </r>
    <r>
      <rPr>
        <sz val="10"/>
        <rFont val="Calibri"/>
        <family val="2"/>
        <scheme val="minor"/>
      </rPr>
      <t>Forecast</t>
    </r>
  </si>
  <si>
    <t>($20,000 GMF)</t>
  </si>
  <si>
    <t>($50,000 JCI)</t>
  </si>
  <si>
    <t>($10,000 Bader)</t>
  </si>
  <si>
    <t>($25,000 We Energies)</t>
  </si>
  <si>
    <t>($100,000 Zizzo donors)</t>
  </si>
  <si>
    <t>($25,000 Zilber)</t>
  </si>
  <si>
    <t>($10,000 Healthy Living new donors)</t>
  </si>
  <si>
    <t>Charter Mfg $50,000</t>
  </si>
  <si>
    <t>($10,000 Farrior)</t>
  </si>
  <si>
    <t>($10,000 Schmidt already rec'd)</t>
  </si>
  <si>
    <t>($10,000 Bast already rec'd)</t>
  </si>
  <si>
    <t>Sen. Kohl $50,000</t>
  </si>
  <si>
    <t>GA $194,000</t>
  </si>
  <si>
    <t>Zilber $25,000</t>
  </si>
  <si>
    <t>GMF $10,000</t>
  </si>
  <si>
    <t>Herzfeld $20,000</t>
  </si>
  <si>
    <t>YUSA CDLI $10,000</t>
  </si>
  <si>
    <t>YUSA $25,000 Teen Summit</t>
  </si>
  <si>
    <t>GE $10,000 MLK</t>
  </si>
  <si>
    <t>Uihlein Fdn $10,000 MI</t>
  </si>
  <si>
    <t>Direct Supply $10,000 YA</t>
  </si>
  <si>
    <t>NM $10,000 MLK</t>
  </si>
  <si>
    <t>Schmit $10,000</t>
  </si>
  <si>
    <t>Venable $10,000</t>
  </si>
  <si>
    <t>YUSA $11,250 DPP</t>
  </si>
  <si>
    <t>YUSA $28,500 SAW</t>
  </si>
  <si>
    <t>Bradford Trust $11,299</t>
  </si>
  <si>
    <t>Potawatomi $15,000 MLK</t>
  </si>
  <si>
    <t>YUSA $12,500 MI</t>
  </si>
  <si>
    <t>NM $10,417</t>
  </si>
  <si>
    <t>YUSA $11,945 Walmart</t>
  </si>
  <si>
    <t>YUSA $10,000 HL</t>
  </si>
  <si>
    <t>Aurora $30,000 MLK</t>
  </si>
  <si>
    <t>Various $30,100 YA</t>
  </si>
  <si>
    <t>Associated $10,000 YA</t>
  </si>
  <si>
    <t>Werner Fdn $20,000</t>
  </si>
  <si>
    <t>($24,000 YUSA SAW already rec'd)</t>
  </si>
  <si>
    <t>We Energies $50,000</t>
  </si>
  <si>
    <t>Zilber $125,000</t>
  </si>
  <si>
    <t>YUSA BPSM $6,000</t>
  </si>
  <si>
    <t>YUSA BPSM $8,500</t>
  </si>
  <si>
    <t>Herzfeld $10,000 ($30,000 next FY)</t>
  </si>
  <si>
    <t>WEYCO $6,000</t>
  </si>
  <si>
    <t>JMBrennan $5,000</t>
  </si>
  <si>
    <t>Last FY Actual</t>
  </si>
  <si>
    <t>Budget/Forecast Running Variance</t>
  </si>
  <si>
    <t>This FY/ Last FY Running Variance</t>
  </si>
  <si>
    <t>% increase original forecast</t>
  </si>
  <si>
    <t>% increase new forecast</t>
  </si>
  <si>
    <t>Why?</t>
  </si>
  <si>
    <t>Weyenberg Trust $15,000</t>
  </si>
  <si>
    <t>CG Schmidt $10,000</t>
  </si>
  <si>
    <t>NIS $7,000</t>
  </si>
  <si>
    <t>Schmidt $10,000</t>
  </si>
  <si>
    <t>United Way $18,660</t>
  </si>
  <si>
    <t>JCI $6,500</t>
  </si>
  <si>
    <t>YUSA Walmart $8,889</t>
  </si>
  <si>
    <t>($125,000 Zilber)</t>
  </si>
  <si>
    <t>($50,000 We Energies)</t>
  </si>
  <si>
    <t>Halquist Stone $10,000</t>
  </si>
  <si>
    <t>Third Space Brewing $5,000</t>
  </si>
  <si>
    <t>Farrior $43,861</t>
  </si>
  <si>
    <t>($10,000 R. Schmidt already rec'd)</t>
  </si>
  <si>
    <t>B. Jacobs life insurance</t>
  </si>
  <si>
    <t>NM $100,000</t>
  </si>
  <si>
    <t>UHC $13,333</t>
  </si>
  <si>
    <t>Kohl Philanthropy $30,000</t>
  </si>
  <si>
    <t>MISSION ADVANCEMENT FORECAST 2019</t>
  </si>
  <si>
    <r>
      <t>Released Contributions Actual/</t>
    </r>
    <r>
      <rPr>
        <sz val="10"/>
        <rFont val="Calibri"/>
        <family val="2"/>
        <scheme val="minor"/>
      </rPr>
      <t>Forecast</t>
    </r>
  </si>
  <si>
    <t>Released Contributions Budget</t>
  </si>
  <si>
    <t>TOTAL</t>
  </si>
  <si>
    <t>NOTES ON SHIFTS</t>
  </si>
  <si>
    <t>($50,000) REMOVED We Energies not repeated (need board member, recruitment in progress)</t>
  </si>
  <si>
    <t>($125,000) REMOVED Zilber Fdn not repeated and opportunity moved to December 2019</t>
  </si>
  <si>
    <t>($100,000) REMOVED Zizzo removed (no return)</t>
  </si>
  <si>
    <t>$100,000 ADDED NMF grant for 2019 is recorded here.</t>
  </si>
  <si>
    <t>SUBTOTAL Last FY Total</t>
  </si>
  <si>
    <t>SUBTOTAL Budget</t>
  </si>
  <si>
    <t>SUBTOTAL Forecast</t>
  </si>
  <si>
    <t>SMART Goal 22% increase from LY</t>
  </si>
  <si>
    <t>Forecast UNDER budget</t>
  </si>
  <si>
    <t>All United Way agencies received 10-15% less in allocations</t>
  </si>
  <si>
    <t xml:space="preserve">Budgeted growth of 10%. </t>
  </si>
  <si>
    <t>01 Contribution</t>
  </si>
  <si>
    <t xml:space="preserve">02  Release from Restriction Contribution </t>
  </si>
  <si>
    <t>03/04 Special Events Net</t>
  </si>
  <si>
    <t xml:space="preserve">10 Grants Public </t>
  </si>
  <si>
    <t xml:space="preserve">08 United Way Allocations </t>
  </si>
  <si>
    <t>Forecast 9% increase from LY</t>
  </si>
  <si>
    <t>$60,000 ADDED Original budget was conservative, we have since added expected funds</t>
  </si>
  <si>
    <t>$30,000 ADDED Corporate and individual donors are expected to be over goal.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</si>
</sst>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2" x14ac:knownFonts="1"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MS Sans Serif"/>
    </font>
    <font>
      <sz val="10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2" fillId="0" borderId="0" xfId="1" applyFont="1" applyAlignment="1">
      <alignment vertical="center"/>
    </xf>
    <xf numFmtId="164" fontId="1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3" borderId="0" xfId="0" applyFont="1" applyFill="1" applyAlignment="1">
      <alignment vertical="center"/>
    </xf>
    <xf numFmtId="164" fontId="2" fillId="3" borderId="0" xfId="0" applyNumberFormat="1" applyFont="1" applyFill="1"/>
    <xf numFmtId="0" fontId="2" fillId="3" borderId="0" xfId="0" applyFont="1" applyFill="1"/>
    <xf numFmtId="0" fontId="3" fillId="3" borderId="0" xfId="0" applyFont="1" applyFill="1" applyAlignment="1">
      <alignment vertical="center"/>
    </xf>
    <xf numFmtId="164" fontId="1" fillId="3" borderId="0" xfId="0" applyNumberFormat="1" applyFont="1" applyFill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/>
    <xf numFmtId="0" fontId="2" fillId="3" borderId="1" xfId="0" applyFont="1" applyFill="1" applyBorder="1"/>
    <xf numFmtId="0" fontId="3" fillId="3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/>
    <xf numFmtId="0" fontId="2" fillId="0" borderId="0" xfId="0" applyFont="1" applyFill="1" applyAlignment="1">
      <alignment vertical="center"/>
    </xf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59B0-B12C-4D25-81DA-B453275011EE}">
  <sheetPr>
    <pageSetUpPr fitToPage="1"/>
  </sheetPr>
  <dimension ref="A1:N44"/>
  <sheetViews>
    <sheetView topLeftCell="D1" workbookViewId="0">
      <pane ySplit="1" topLeftCell="A11" activePane="bottomLeft" state="frozen"/>
      <selection pane="bottomLeft" activeCell="G21" sqref="G21"/>
    </sheetView>
  </sheetViews>
  <sheetFormatPr defaultColWidth="9.1796875" defaultRowHeight="18.75" customHeight="1" x14ac:dyDescent="0.3"/>
  <cols>
    <col min="1" max="1" width="29" style="2" customWidth="1"/>
    <col min="2" max="2" width="17.81640625" style="2" customWidth="1"/>
    <col min="3" max="3" width="20.81640625" style="2" bestFit="1" customWidth="1"/>
    <col min="4" max="4" width="19.453125" style="2" bestFit="1" customWidth="1"/>
    <col min="5" max="5" width="21.54296875" style="2" bestFit="1" customWidth="1"/>
    <col min="6" max="6" width="24.7265625" style="2" bestFit="1" customWidth="1"/>
    <col min="7" max="7" width="17.81640625" style="2" customWidth="1"/>
    <col min="8" max="8" width="25.7265625" style="2" customWidth="1"/>
    <col min="9" max="9" width="17.81640625" style="2" customWidth="1"/>
    <col min="10" max="10" width="22.453125" style="2" bestFit="1" customWidth="1"/>
    <col min="11" max="11" width="27.1796875" style="2" bestFit="1" customWidth="1"/>
    <col min="12" max="12" width="22" style="2" bestFit="1" customWidth="1"/>
    <col min="13" max="14" width="17.81640625" style="2" customWidth="1"/>
    <col min="15" max="16384" width="9.1796875" style="2"/>
  </cols>
  <sheetData>
    <row r="1" spans="1:14" ht="18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8.75" customHeight="1" x14ac:dyDescent="0.3">
      <c r="A2" s="2" t="s">
        <v>89</v>
      </c>
      <c r="B2" s="3">
        <v>8954.27</v>
      </c>
      <c r="C2" s="3">
        <v>51710.39</v>
      </c>
      <c r="D2" s="3">
        <v>58858.85</v>
      </c>
      <c r="E2" s="3">
        <v>127459.31</v>
      </c>
      <c r="F2" s="3">
        <v>86547.79</v>
      </c>
      <c r="G2" s="3">
        <v>24531.5</v>
      </c>
      <c r="H2" s="3">
        <v>66210.289999999994</v>
      </c>
      <c r="I2" s="3">
        <v>68609.08</v>
      </c>
      <c r="J2" s="3">
        <v>64556.04</v>
      </c>
      <c r="K2" s="3">
        <v>16926.98</v>
      </c>
      <c r="L2" s="3">
        <v>46564.7</v>
      </c>
      <c r="M2" s="3">
        <v>32321.79</v>
      </c>
      <c r="N2" s="3">
        <f>SUM(B2:M2)</f>
        <v>653250.99</v>
      </c>
    </row>
    <row r="3" spans="1:14" ht="18.75" customHeight="1" x14ac:dyDescent="0.3">
      <c r="A3" s="11" t="s">
        <v>13</v>
      </c>
      <c r="B3" s="3">
        <v>21650</v>
      </c>
      <c r="C3" s="3">
        <v>55250</v>
      </c>
      <c r="D3" s="3">
        <v>80250</v>
      </c>
      <c r="E3" s="3">
        <v>141000</v>
      </c>
      <c r="F3" s="3">
        <v>60050</v>
      </c>
      <c r="G3" s="3">
        <v>8500</v>
      </c>
      <c r="H3" s="3">
        <v>131250</v>
      </c>
      <c r="I3" s="3">
        <v>76750</v>
      </c>
      <c r="J3" s="3">
        <v>42900</v>
      </c>
      <c r="K3" s="3">
        <v>129900</v>
      </c>
      <c r="L3" s="3">
        <v>103600</v>
      </c>
      <c r="M3" s="3">
        <v>252450</v>
      </c>
      <c r="N3" s="3">
        <f>SUM(B3:M3)</f>
        <v>1103550</v>
      </c>
    </row>
    <row r="4" spans="1:14" ht="18.75" customHeight="1" x14ac:dyDescent="0.3">
      <c r="A4" s="4" t="s">
        <v>34</v>
      </c>
      <c r="B4" s="5">
        <v>44892.77</v>
      </c>
      <c r="C4" s="5">
        <v>66073.740000000005</v>
      </c>
      <c r="D4" s="5">
        <v>78462.759999999995</v>
      </c>
      <c r="E4" s="5">
        <v>155226.23999999999</v>
      </c>
      <c r="F4" s="5">
        <v>9860.7800000000007</v>
      </c>
      <c r="G4" s="5">
        <v>31127.54</v>
      </c>
      <c r="H4" s="5">
        <v>89125.51</v>
      </c>
      <c r="I4" s="5">
        <v>78737.73</v>
      </c>
      <c r="J4" s="5">
        <v>24481.96</v>
      </c>
      <c r="K4" s="5">
        <v>195753.88</v>
      </c>
      <c r="L4" s="3">
        <f>41600</f>
        <v>41600</v>
      </c>
      <c r="M4" s="3">
        <f>33451</f>
        <v>33451</v>
      </c>
      <c r="N4" s="13">
        <f>SUM(B4:M4)</f>
        <v>848793.91</v>
      </c>
    </row>
    <row r="5" spans="1:14" ht="18.75" customHeight="1" x14ac:dyDescent="0.3">
      <c r="B5" s="4" t="s">
        <v>61</v>
      </c>
      <c r="D5" s="6" t="s">
        <v>69</v>
      </c>
      <c r="E5" s="6" t="s">
        <v>70</v>
      </c>
      <c r="G5" s="6" t="s">
        <v>73</v>
      </c>
      <c r="H5" s="6" t="s">
        <v>20</v>
      </c>
      <c r="I5" s="6" t="s">
        <v>52</v>
      </c>
      <c r="J5" s="4" t="s">
        <v>100</v>
      </c>
      <c r="K5" s="4" t="s">
        <v>109</v>
      </c>
      <c r="L5" s="7" t="s">
        <v>95</v>
      </c>
      <c r="M5" s="2" t="s">
        <v>108</v>
      </c>
    </row>
    <row r="6" spans="1:14" ht="18.75" customHeight="1" x14ac:dyDescent="0.3">
      <c r="D6" s="6" t="s">
        <v>64</v>
      </c>
      <c r="E6" s="6" t="s">
        <v>80</v>
      </c>
      <c r="H6" s="6" t="s">
        <v>30</v>
      </c>
      <c r="I6" s="4" t="s">
        <v>99</v>
      </c>
      <c r="J6" s="4" t="s">
        <v>87</v>
      </c>
      <c r="K6" s="4" t="s">
        <v>106</v>
      </c>
      <c r="L6" s="7" t="s">
        <v>19</v>
      </c>
      <c r="M6" s="7"/>
    </row>
    <row r="7" spans="1:14" ht="18.75" customHeight="1" x14ac:dyDescent="0.3">
      <c r="D7" s="6" t="s">
        <v>65</v>
      </c>
      <c r="E7" s="6" t="s">
        <v>71</v>
      </c>
      <c r="H7" s="9" t="s">
        <v>46</v>
      </c>
      <c r="J7" s="4" t="s">
        <v>88</v>
      </c>
      <c r="K7" s="6" t="s">
        <v>111</v>
      </c>
      <c r="L7" s="7"/>
      <c r="M7" s="2" t="s">
        <v>97</v>
      </c>
    </row>
    <row r="8" spans="1:14" ht="18.75" customHeight="1" x14ac:dyDescent="0.3">
      <c r="D8" s="6" t="s">
        <v>98</v>
      </c>
      <c r="H8" s="9" t="s">
        <v>81</v>
      </c>
      <c r="J8" s="9" t="s">
        <v>55</v>
      </c>
      <c r="K8" s="6" t="s">
        <v>96</v>
      </c>
      <c r="L8" s="9" t="s">
        <v>103</v>
      </c>
      <c r="M8" s="9" t="s">
        <v>102</v>
      </c>
    </row>
    <row r="9" spans="1:14" ht="18.75" customHeight="1" x14ac:dyDescent="0.3">
      <c r="D9" s="6" t="s">
        <v>68</v>
      </c>
      <c r="H9" s="9" t="s">
        <v>45</v>
      </c>
      <c r="K9" s="9" t="s">
        <v>47</v>
      </c>
      <c r="M9" s="9" t="s">
        <v>49</v>
      </c>
    </row>
    <row r="10" spans="1:14" ht="18.75" customHeight="1" x14ac:dyDescent="0.3">
      <c r="D10" s="6"/>
      <c r="H10" s="9" t="s">
        <v>51</v>
      </c>
      <c r="K10" s="9" t="s">
        <v>107</v>
      </c>
    </row>
    <row r="11" spans="1:14" ht="18.75" customHeight="1" x14ac:dyDescent="0.3">
      <c r="D11" s="6"/>
      <c r="H11" s="9"/>
    </row>
    <row r="12" spans="1:14" ht="18.75" customHeight="1" x14ac:dyDescent="0.3">
      <c r="A12" s="2" t="s">
        <v>89</v>
      </c>
      <c r="B12" s="3">
        <v>0</v>
      </c>
      <c r="C12" s="3">
        <v>12860</v>
      </c>
      <c r="D12" s="3">
        <v>0</v>
      </c>
      <c r="E12" s="3">
        <v>0</v>
      </c>
      <c r="F12" s="3">
        <v>109260</v>
      </c>
      <c r="G12" s="3">
        <v>0</v>
      </c>
      <c r="H12" s="3">
        <v>1840</v>
      </c>
      <c r="I12" s="3">
        <v>188410.1</v>
      </c>
      <c r="J12" s="3">
        <v>82691</v>
      </c>
      <c r="K12" s="3">
        <v>137000</v>
      </c>
      <c r="L12" s="3">
        <v>0</v>
      </c>
      <c r="M12" s="3">
        <f>54399+29202.44</f>
        <v>83601.440000000002</v>
      </c>
      <c r="N12" s="3">
        <f>SUM(B12:M12)</f>
        <v>615662.54</v>
      </c>
    </row>
    <row r="13" spans="1:14" ht="18.75" customHeight="1" x14ac:dyDescent="0.3">
      <c r="A13" s="11" t="s">
        <v>14</v>
      </c>
      <c r="B13" s="3">
        <v>35916.67</v>
      </c>
      <c r="C13" s="3">
        <v>51266.67</v>
      </c>
      <c r="D13" s="3">
        <v>22916.67</v>
      </c>
      <c r="E13" s="3">
        <v>50416.67</v>
      </c>
      <c r="F13" s="3">
        <v>40416.67</v>
      </c>
      <c r="G13" s="3">
        <v>10416.67</v>
      </c>
      <c r="H13" s="3">
        <v>20416.669999999998</v>
      </c>
      <c r="I13" s="3">
        <v>10416.67</v>
      </c>
      <c r="J13" s="3">
        <v>22416.66</v>
      </c>
      <c r="K13" s="3">
        <v>10416.66</v>
      </c>
      <c r="L13" s="3">
        <f>10416.66</f>
        <v>10416.66</v>
      </c>
      <c r="M13" s="3">
        <f>42153.16</f>
        <v>42153.16</v>
      </c>
      <c r="N13" s="3">
        <f>SUM(B13:M13)</f>
        <v>327586.5</v>
      </c>
    </row>
    <row r="14" spans="1:14" ht="18.75" customHeight="1" x14ac:dyDescent="0.3">
      <c r="A14" s="4" t="s">
        <v>35</v>
      </c>
      <c r="B14" s="5">
        <v>40516.67</v>
      </c>
      <c r="C14" s="5">
        <v>51066.67</v>
      </c>
      <c r="D14" s="5">
        <v>34027.67</v>
      </c>
      <c r="E14" s="5">
        <v>57916.67</v>
      </c>
      <c r="F14" s="5">
        <v>40416.67</v>
      </c>
      <c r="G14" s="5">
        <v>29140.7</v>
      </c>
      <c r="H14" s="5">
        <v>19696.349999999999</v>
      </c>
      <c r="I14" s="5">
        <v>20657.669999999998</v>
      </c>
      <c r="J14" s="5">
        <v>31164.67</v>
      </c>
      <c r="K14" s="5">
        <v>15341</v>
      </c>
      <c r="L14" s="3">
        <v>7885</v>
      </c>
      <c r="M14" s="3">
        <f>42153.16-10416.66+7885</f>
        <v>39621.5</v>
      </c>
      <c r="N14" s="13">
        <f>SUM(B14:M14)</f>
        <v>387451.23999999993</v>
      </c>
    </row>
    <row r="15" spans="1:14" ht="18.75" customHeight="1" x14ac:dyDescent="0.3">
      <c r="B15" s="4" t="s">
        <v>78</v>
      </c>
      <c r="C15" s="4" t="s">
        <v>74</v>
      </c>
      <c r="D15" s="4" t="s">
        <v>75</v>
      </c>
      <c r="E15" s="4" t="s">
        <v>41</v>
      </c>
      <c r="F15" s="4" t="s">
        <v>77</v>
      </c>
      <c r="G15" s="4" t="s">
        <v>74</v>
      </c>
      <c r="H15" s="4" t="s">
        <v>74</v>
      </c>
      <c r="I15" s="4" t="s">
        <v>74</v>
      </c>
      <c r="J15" s="4" t="s">
        <v>74</v>
      </c>
      <c r="K15" s="2" t="s">
        <v>74</v>
      </c>
      <c r="L15" s="16" t="s">
        <v>110</v>
      </c>
      <c r="M15" s="7" t="s">
        <v>21</v>
      </c>
    </row>
    <row r="16" spans="1:14" ht="18.75" customHeight="1" x14ac:dyDescent="0.3">
      <c r="B16" s="4" t="s">
        <v>74</v>
      </c>
      <c r="C16" s="4" t="s">
        <v>79</v>
      </c>
      <c r="D16" s="4" t="s">
        <v>74</v>
      </c>
      <c r="E16" s="4" t="s">
        <v>74</v>
      </c>
      <c r="F16" s="4" t="s">
        <v>74</v>
      </c>
      <c r="J16" s="4" t="s">
        <v>24</v>
      </c>
      <c r="K16" s="17"/>
      <c r="M16" s="16" t="s">
        <v>110</v>
      </c>
    </row>
    <row r="17" spans="1:14" ht="18.75" customHeight="1" x14ac:dyDescent="0.3">
      <c r="B17" s="6"/>
      <c r="C17" s="6" t="s">
        <v>76</v>
      </c>
      <c r="J17" s="4" t="s">
        <v>101</v>
      </c>
    </row>
    <row r="18" spans="1:14" ht="18.75" customHeight="1" x14ac:dyDescent="0.3">
      <c r="B18" s="6"/>
      <c r="C18" s="6"/>
    </row>
    <row r="19" spans="1:14" ht="18.75" customHeight="1" x14ac:dyDescent="0.3">
      <c r="A19" s="2" t="s">
        <v>89</v>
      </c>
      <c r="B19" s="3">
        <v>318.02999999999997</v>
      </c>
      <c r="C19" s="3">
        <f>0-745.25</f>
        <v>-745.25</v>
      </c>
      <c r="D19" s="3">
        <v>3563.04</v>
      </c>
      <c r="E19" s="3">
        <f>7049.09+1830</f>
        <v>8879.09</v>
      </c>
      <c r="F19" s="3">
        <f>0-20371.66+12600</f>
        <v>-7771.66</v>
      </c>
      <c r="G19" s="3">
        <f>931.68-9421.31</f>
        <v>-8489.6299999999992</v>
      </c>
      <c r="H19" s="3">
        <f>7406.98-38645.58</f>
        <v>-31238.600000000002</v>
      </c>
      <c r="I19" s="3">
        <f>12719.89+5546.2</f>
        <v>18266.09</v>
      </c>
      <c r="J19" s="3">
        <f>2768.59-911.37</f>
        <v>1857.2200000000003</v>
      </c>
      <c r="K19" s="3">
        <v>6537.27</v>
      </c>
      <c r="L19" s="3">
        <f>0-1654.57</f>
        <v>-1654.57</v>
      </c>
      <c r="M19" s="3">
        <f>0-6648.91-176.01</f>
        <v>-6824.92</v>
      </c>
      <c r="N19" s="3">
        <f>SUM(B19:M19)</f>
        <v>-17303.89</v>
      </c>
    </row>
    <row r="20" spans="1:14" ht="18.75" customHeight="1" x14ac:dyDescent="0.3">
      <c r="A20" s="11" t="s">
        <v>15</v>
      </c>
      <c r="B20" s="3">
        <v>-1105.29</v>
      </c>
      <c r="C20" s="3">
        <v>10019.75</v>
      </c>
      <c r="D20" s="3">
        <v>51904.79</v>
      </c>
      <c r="E20" s="3">
        <f>26000+46618</f>
        <v>72618</v>
      </c>
      <c r="F20" s="3">
        <f>-13450+661.03</f>
        <v>-12788.97</v>
      </c>
      <c r="G20" s="3">
        <f>-7680+5616.72</f>
        <v>-2063.2799999999997</v>
      </c>
      <c r="H20" s="3">
        <f>-3320-43577.84</f>
        <v>-46897.84</v>
      </c>
      <c r="I20" s="3">
        <f>-1680-4935.91</f>
        <v>-6615.91</v>
      </c>
      <c r="J20" s="3">
        <v>19500</v>
      </c>
      <c r="K20" s="3">
        <f>-3845+1406</f>
        <v>-2439</v>
      </c>
      <c r="L20" s="3">
        <f>3500+1406</f>
        <v>4906</v>
      </c>
      <c r="M20" s="3">
        <f>3500+1406</f>
        <v>4906</v>
      </c>
      <c r="N20" s="3">
        <f>SUM(B20:M20)</f>
        <v>91944.25</v>
      </c>
    </row>
    <row r="21" spans="1:14" ht="18.75" customHeight="1" x14ac:dyDescent="0.3">
      <c r="A21" s="4" t="s">
        <v>36</v>
      </c>
      <c r="B21" s="5">
        <v>17165.599999999999</v>
      </c>
      <c r="C21" s="5">
        <f>56532.78+5000</f>
        <v>61532.78</v>
      </c>
      <c r="D21" s="5">
        <f>-4433.79-425</f>
        <v>-4858.79</v>
      </c>
      <c r="E21" s="5">
        <f>14700.56+2365.25</f>
        <v>17065.809999999998</v>
      </c>
      <c r="F21" s="5">
        <f>5332.12-456.38</f>
        <v>4875.74</v>
      </c>
      <c r="G21" s="5">
        <f>-4929.38+217.86</f>
        <v>-4711.5200000000004</v>
      </c>
      <c r="H21" s="5">
        <f>-11725.18-16948.29</f>
        <v>-28673.47</v>
      </c>
      <c r="I21" s="5">
        <f>3178.65+23200.01</f>
        <v>26378.66</v>
      </c>
      <c r="J21" s="5">
        <f>18632.78-873.8</f>
        <v>17758.98</v>
      </c>
      <c r="K21" s="5">
        <f>21074.14-1654.87</f>
        <v>19419.27</v>
      </c>
      <c r="L21" s="3">
        <f>-6886.16+1406</f>
        <v>-5480.16</v>
      </c>
      <c r="M21" s="3">
        <f>3345+1406</f>
        <v>4751</v>
      </c>
      <c r="N21" s="13">
        <f>SUM(B21:M21)</f>
        <v>125223.90000000001</v>
      </c>
    </row>
    <row r="22" spans="1:14" ht="18.75" customHeight="1" x14ac:dyDescent="0.3">
      <c r="A22" s="7" t="s">
        <v>31</v>
      </c>
      <c r="I22" s="6" t="s">
        <v>32</v>
      </c>
      <c r="K22" s="4" t="s">
        <v>104</v>
      </c>
      <c r="M22" s="2" t="s">
        <v>38</v>
      </c>
    </row>
    <row r="23" spans="1:14" ht="18.75" customHeight="1" x14ac:dyDescent="0.3">
      <c r="C23" s="6" t="s">
        <v>62</v>
      </c>
      <c r="D23" s="4" t="s">
        <v>66</v>
      </c>
      <c r="E23" s="6" t="s">
        <v>72</v>
      </c>
      <c r="K23" s="4" t="s">
        <v>105</v>
      </c>
    </row>
    <row r="24" spans="1:14" ht="18.75" customHeight="1" x14ac:dyDescent="0.3">
      <c r="C24" s="6" t="s">
        <v>63</v>
      </c>
      <c r="F24" s="7"/>
    </row>
    <row r="25" spans="1:14" ht="18.75" customHeight="1" x14ac:dyDescent="0.3">
      <c r="C25" s="6"/>
      <c r="F25" s="7"/>
    </row>
    <row r="26" spans="1:14" ht="18.75" customHeight="1" x14ac:dyDescent="0.3">
      <c r="A26" s="2" t="s">
        <v>89</v>
      </c>
      <c r="B26" s="3">
        <v>23786.73</v>
      </c>
      <c r="C26" s="3">
        <v>24933.4</v>
      </c>
      <c r="D26" s="3">
        <v>24933.4</v>
      </c>
      <c r="E26" s="3">
        <v>79175.56</v>
      </c>
      <c r="F26" s="3">
        <v>35538.129999999997</v>
      </c>
      <c r="G26" s="3">
        <v>24236.34</v>
      </c>
      <c r="H26" s="3">
        <v>24933.48</v>
      </c>
      <c r="I26" s="3">
        <v>7381.72</v>
      </c>
      <c r="J26" s="3">
        <v>38401.980000000003</v>
      </c>
      <c r="K26" s="3">
        <v>27342.48</v>
      </c>
      <c r="L26" s="3">
        <v>27342.48</v>
      </c>
      <c r="M26" s="3">
        <f>73551.38+1698.73</f>
        <v>75250.11</v>
      </c>
      <c r="N26" s="3">
        <f>SUM(B26:M26)</f>
        <v>413255.80999999994</v>
      </c>
    </row>
    <row r="27" spans="1:14" ht="18.75" customHeight="1" x14ac:dyDescent="0.3">
      <c r="A27" s="2" t="s">
        <v>43</v>
      </c>
      <c r="B27" s="3">
        <v>34636.06</v>
      </c>
      <c r="C27" s="3">
        <v>35257.480000000003</v>
      </c>
      <c r="D27" s="3">
        <v>35257.480000000003</v>
      </c>
      <c r="E27" s="3">
        <v>35257.480000000003</v>
      </c>
      <c r="F27" s="3">
        <v>18749.66</v>
      </c>
      <c r="G27" s="3">
        <v>18749.66</v>
      </c>
      <c r="H27" s="3">
        <v>18749.66</v>
      </c>
      <c r="I27" s="3">
        <v>18749.66</v>
      </c>
      <c r="J27" s="3">
        <v>18749.66</v>
      </c>
      <c r="K27" s="3">
        <v>18749.650000000001</v>
      </c>
      <c r="L27" s="3">
        <v>17506.810000000001</v>
      </c>
      <c r="M27" s="3">
        <v>81468.23</v>
      </c>
      <c r="N27" s="3">
        <f>SUM(B27:M27)</f>
        <v>351881.49000000005</v>
      </c>
    </row>
    <row r="28" spans="1:14" ht="18.75" customHeight="1" x14ac:dyDescent="0.3">
      <c r="A28" s="2" t="s">
        <v>44</v>
      </c>
      <c r="B28" s="5">
        <v>26721.06</v>
      </c>
      <c r="C28" s="5">
        <v>27342.48</v>
      </c>
      <c r="D28" s="5">
        <v>27342.48</v>
      </c>
      <c r="E28" s="5">
        <v>30881.52</v>
      </c>
      <c r="F28" s="5">
        <v>53064.08</v>
      </c>
      <c r="G28" s="5">
        <v>29949.89</v>
      </c>
      <c r="H28" s="5">
        <v>29389.29</v>
      </c>
      <c r="I28" s="5">
        <v>33065.370000000003</v>
      </c>
      <c r="J28" s="5">
        <v>21283.62</v>
      </c>
      <c r="K28" s="5">
        <v>31259.08</v>
      </c>
      <c r="L28" s="3">
        <v>30052.47</v>
      </c>
      <c r="M28" s="3">
        <v>70778.02</v>
      </c>
      <c r="N28" s="13">
        <f>SUM(B28:M28)</f>
        <v>411129.3600000001</v>
      </c>
    </row>
    <row r="29" spans="1:14" ht="18.75" customHeight="1" x14ac:dyDescent="0.3">
      <c r="F29" s="7"/>
    </row>
    <row r="30" spans="1:14" ht="18.75" customHeight="1" x14ac:dyDescent="0.3">
      <c r="F30" s="7"/>
    </row>
    <row r="31" spans="1:14" ht="18.75" customHeight="1" x14ac:dyDescent="0.3">
      <c r="A31" s="2" t="s">
        <v>89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391563</v>
      </c>
      <c r="M31" s="3">
        <v>0</v>
      </c>
      <c r="N31" s="3">
        <f>SUM(B31:M31)</f>
        <v>391563</v>
      </c>
    </row>
    <row r="32" spans="1:14" ht="18.75" customHeight="1" x14ac:dyDescent="0.3">
      <c r="A32" s="2" t="s">
        <v>16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375000</v>
      </c>
      <c r="M32" s="3">
        <v>0</v>
      </c>
      <c r="N32" s="3">
        <f>SUM(B32:M32)</f>
        <v>375000</v>
      </c>
    </row>
    <row r="33" spans="1:14" ht="18.75" customHeight="1" x14ac:dyDescent="0.3">
      <c r="A33" s="4" t="s">
        <v>17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3">
        <v>0</v>
      </c>
      <c r="K33" s="3"/>
      <c r="L33" s="3">
        <v>340223</v>
      </c>
      <c r="M33" s="3">
        <v>0</v>
      </c>
      <c r="N33" s="13">
        <f>SUM(B33:M33)</f>
        <v>340223</v>
      </c>
    </row>
    <row r="36" spans="1:14" ht="18.75" customHeight="1" x14ac:dyDescent="0.3">
      <c r="A36" s="2" t="s">
        <v>26</v>
      </c>
      <c r="B36" s="3">
        <f t="shared" ref="B36:N37" si="0">B32+B20+B13+B3+B27</f>
        <v>91097.44</v>
      </c>
      <c r="C36" s="3">
        <f t="shared" si="0"/>
        <v>151793.9</v>
      </c>
      <c r="D36" s="3">
        <f t="shared" si="0"/>
        <v>190328.94</v>
      </c>
      <c r="E36" s="3">
        <f t="shared" si="0"/>
        <v>299292.14999999997</v>
      </c>
      <c r="F36" s="3">
        <f t="shared" si="0"/>
        <v>106427.36</v>
      </c>
      <c r="G36" s="3">
        <f t="shared" si="0"/>
        <v>35603.050000000003</v>
      </c>
      <c r="H36" s="3">
        <f t="shared" si="0"/>
        <v>123518.49</v>
      </c>
      <c r="I36" s="3">
        <f t="shared" si="0"/>
        <v>99300.42</v>
      </c>
      <c r="J36" s="3">
        <f t="shared" si="0"/>
        <v>103566.32</v>
      </c>
      <c r="K36" s="3">
        <f>K32+K20+K13+K3+K27</f>
        <v>156627.31</v>
      </c>
      <c r="L36" s="3">
        <f t="shared" si="0"/>
        <v>511429.47</v>
      </c>
      <c r="M36" s="3">
        <f t="shared" si="0"/>
        <v>380977.39</v>
      </c>
      <c r="N36" s="3">
        <f t="shared" si="0"/>
        <v>2249962.2400000002</v>
      </c>
    </row>
    <row r="37" spans="1:14" ht="18.75" customHeight="1" x14ac:dyDescent="0.3">
      <c r="A37" s="2" t="s">
        <v>37</v>
      </c>
      <c r="B37" s="5">
        <f t="shared" si="0"/>
        <v>129296.09999999999</v>
      </c>
      <c r="C37" s="5">
        <f t="shared" si="0"/>
        <v>206015.67</v>
      </c>
      <c r="D37" s="5">
        <f t="shared" si="0"/>
        <v>134974.12</v>
      </c>
      <c r="E37" s="5">
        <f t="shared" si="0"/>
        <v>261090.23999999996</v>
      </c>
      <c r="F37" s="5">
        <f t="shared" si="0"/>
        <v>108217.26999999999</v>
      </c>
      <c r="G37" s="5">
        <f t="shared" si="0"/>
        <v>85506.61</v>
      </c>
      <c r="H37" s="5">
        <f t="shared" si="0"/>
        <v>109537.68</v>
      </c>
      <c r="I37" s="5">
        <f>I33+I21+I14+I4+I28</f>
        <v>158839.43</v>
      </c>
      <c r="J37" s="5">
        <f>J33+J21+J14+J4+J28</f>
        <v>94689.229999999981</v>
      </c>
      <c r="K37" s="5">
        <f>K33+K21+K14+K4+K28</f>
        <v>261773.23000000004</v>
      </c>
      <c r="L37" s="3">
        <f t="shared" si="0"/>
        <v>414280.31000000006</v>
      </c>
      <c r="M37" s="3">
        <f t="shared" si="0"/>
        <v>148601.52000000002</v>
      </c>
      <c r="N37" s="13">
        <f>SUM(B37:M37)</f>
        <v>2112821.41</v>
      </c>
    </row>
    <row r="39" spans="1:14" ht="18.75" customHeight="1" x14ac:dyDescent="0.3">
      <c r="A39" s="2" t="s">
        <v>90</v>
      </c>
      <c r="B39" s="3">
        <f>B37-B36</f>
        <v>38198.659999999989</v>
      </c>
      <c r="C39" s="3">
        <f>C37-C36+B39</f>
        <v>92420.430000000008</v>
      </c>
      <c r="D39" s="3">
        <f>D37-D36+C39</f>
        <v>37065.61</v>
      </c>
      <c r="E39" s="3">
        <f>E37-E36+D39</f>
        <v>-1136.3000000000029</v>
      </c>
      <c r="F39" s="3">
        <f>F37-F36+E39</f>
        <v>653.60999999998603</v>
      </c>
      <c r="G39" s="3">
        <f>G37-G36+F39</f>
        <v>50557.169999999984</v>
      </c>
      <c r="H39" s="3">
        <f t="shared" ref="H39:M39" si="1">H37-H36+G39</f>
        <v>36576.359999999971</v>
      </c>
      <c r="I39" s="3">
        <f t="shared" si="1"/>
        <v>96115.369999999966</v>
      </c>
      <c r="J39" s="3">
        <f t="shared" si="1"/>
        <v>87238.279999999941</v>
      </c>
      <c r="K39" s="3">
        <f t="shared" si="1"/>
        <v>192384.19999999998</v>
      </c>
      <c r="L39" s="3">
        <f t="shared" si="1"/>
        <v>95235.040000000066</v>
      </c>
      <c r="M39" s="3">
        <f t="shared" si="1"/>
        <v>-137140.82999999993</v>
      </c>
      <c r="N39" s="13">
        <f>N37-N36</f>
        <v>-137140.83000000007</v>
      </c>
    </row>
    <row r="41" spans="1:14" ht="18.75" customHeight="1" x14ac:dyDescent="0.3">
      <c r="A41" s="2" t="s">
        <v>39</v>
      </c>
      <c r="B41" s="3">
        <f t="shared" ref="B41:L41" si="2">B31+B26+B19+B12+B2</f>
        <v>33059.03</v>
      </c>
      <c r="C41" s="3">
        <f t="shared" si="2"/>
        <v>88758.540000000008</v>
      </c>
      <c r="D41" s="3">
        <f t="shared" si="2"/>
        <v>87355.290000000008</v>
      </c>
      <c r="E41" s="3">
        <f t="shared" si="2"/>
        <v>215513.96</v>
      </c>
      <c r="F41" s="3">
        <f t="shared" si="2"/>
        <v>223574.26</v>
      </c>
      <c r="G41" s="3">
        <f t="shared" si="2"/>
        <v>40278.21</v>
      </c>
      <c r="H41" s="3">
        <f t="shared" si="2"/>
        <v>61745.169999999991</v>
      </c>
      <c r="I41" s="3">
        <f t="shared" si="2"/>
        <v>282666.99</v>
      </c>
      <c r="J41" s="3">
        <f t="shared" si="2"/>
        <v>187506.24000000002</v>
      </c>
      <c r="K41" s="3">
        <f t="shared" si="2"/>
        <v>187806.73</v>
      </c>
      <c r="L41" s="3">
        <f t="shared" si="2"/>
        <v>463815.61</v>
      </c>
      <c r="M41" s="3">
        <f>M26+M31+M19+M12+M2</f>
        <v>184348.42</v>
      </c>
      <c r="N41" s="3">
        <f>SUM(B41:M41)</f>
        <v>2056428.4500000002</v>
      </c>
    </row>
    <row r="43" spans="1:14" ht="18.75" customHeight="1" x14ac:dyDescent="0.3">
      <c r="A43" s="2" t="s">
        <v>91</v>
      </c>
      <c r="B43" s="3">
        <f>B37-B41</f>
        <v>96237.069999999992</v>
      </c>
      <c r="C43" s="3">
        <f t="shared" ref="C43:M43" si="3">B43+C37-C41</f>
        <v>213494.19999999998</v>
      </c>
      <c r="D43" s="3">
        <f t="shared" si="3"/>
        <v>261113.02999999994</v>
      </c>
      <c r="E43" s="3">
        <f t="shared" si="3"/>
        <v>306689.30999999994</v>
      </c>
      <c r="F43" s="3">
        <f t="shared" si="3"/>
        <v>191332.31999999995</v>
      </c>
      <c r="G43" s="3">
        <f t="shared" si="3"/>
        <v>236560.71999999994</v>
      </c>
      <c r="H43" s="3">
        <f t="shared" si="3"/>
        <v>284353.22999999992</v>
      </c>
      <c r="I43" s="3">
        <f>H43+I37-I41</f>
        <v>160525.66999999993</v>
      </c>
      <c r="J43" s="3">
        <f t="shared" si="3"/>
        <v>67708.659999999887</v>
      </c>
      <c r="K43" s="3">
        <f t="shared" si="3"/>
        <v>141675.15999999989</v>
      </c>
      <c r="L43" s="3">
        <f t="shared" si="3"/>
        <v>92139.859999999986</v>
      </c>
      <c r="M43" s="3">
        <f t="shared" si="3"/>
        <v>56392.959999999992</v>
      </c>
      <c r="N43" s="13">
        <f>N37-N41</f>
        <v>56392.959999999963</v>
      </c>
    </row>
    <row r="44" spans="1:14" ht="18.75" customHeight="1" x14ac:dyDescent="0.3">
      <c r="B44" s="12">
        <f>B37/B41-1</f>
        <v>2.9110675661082612</v>
      </c>
      <c r="C44" s="12">
        <f>SUM(B37:C37)/SUM(B41:C41)-1</f>
        <v>1.7525731304605729</v>
      </c>
      <c r="D44" s="12">
        <f>SUM(B37:D37)/SUM(B41:D41)-1</f>
        <v>1.2483121854336168</v>
      </c>
      <c r="E44" s="12">
        <f>SUM(B37:E37)/SUM(B41:E41)-1</f>
        <v>0.72215405695896084</v>
      </c>
      <c r="F44" s="12">
        <f>SUM(B37:F37)/SUM(B41:F41)-1</f>
        <v>0.29514701083088313</v>
      </c>
      <c r="G44" s="12">
        <f>SUM(B37:G37)/SUM(B41:G41)-1</f>
        <v>0.34356894869427124</v>
      </c>
      <c r="H44" s="12">
        <f>SUM(B37:H37)/SUM(B41:H41)-1</f>
        <v>0.37899389519543014</v>
      </c>
      <c r="I44" s="12">
        <f>SUM(B37:I37)/SUM(B41:I41)-1</f>
        <v>0.15540485470057641</v>
      </c>
      <c r="J44" s="12">
        <f>SUM(B37:J37)/SUM(B41:J41)-1</f>
        <v>5.5478088716045315E-2</v>
      </c>
      <c r="K44" s="12">
        <f>SUM(B37:K37)/SUM(B41:K41)-1</f>
        <v>0.1006026694901514</v>
      </c>
      <c r="L44" s="12">
        <f>SUM(B37:L37)/SUM(B41:L41)-1</f>
        <v>4.9217906565671488E-2</v>
      </c>
      <c r="M44" s="12">
        <f>SUM(B37:M37)/SUM(B41:M41)-1</f>
        <v>2.7422767857544494E-2</v>
      </c>
      <c r="N44" s="14">
        <f>M44</f>
        <v>2.7422767857544494E-2</v>
      </c>
    </row>
  </sheetData>
  <printOptions gridLines="1"/>
  <pageMargins left="0.2" right="0.2" top="0.75" bottom="0.75" header="0.3" footer="0.3"/>
  <pageSetup paperSize="5" scale="58" fitToHeight="0" orientation="landscape" verticalDpi="1200" r:id="rId1"/>
  <headerFooter>
    <oddHeader>&amp;C&amp;F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DCC4-5FC6-4588-B371-26AD0872F3FF}">
  <sheetPr>
    <pageSetUpPr fitToPage="1"/>
  </sheetPr>
  <dimension ref="A1:L43"/>
  <sheetViews>
    <sheetView tabSelected="1" topLeftCell="A16" workbookViewId="0">
      <selection activeCell="C22" sqref="C22"/>
    </sheetView>
  </sheetViews>
  <sheetFormatPr defaultColWidth="9.1796875" defaultRowHeight="13" x14ac:dyDescent="0.3"/>
  <cols>
    <col min="1" max="1" width="34" style="18" bestFit="1" customWidth="1"/>
    <col min="2" max="2" width="13.54296875" style="18" bestFit="1" customWidth="1"/>
    <col min="3" max="3" width="18.54296875" style="18" bestFit="1" customWidth="1"/>
    <col min="4" max="16384" width="9.1796875" style="18"/>
  </cols>
  <sheetData>
    <row r="1" spans="1:12" ht="25.5" customHeight="1" x14ac:dyDescent="0.3">
      <c r="A1" s="34" t="s">
        <v>112</v>
      </c>
      <c r="B1" s="35" t="s">
        <v>115</v>
      </c>
      <c r="C1" s="34" t="s">
        <v>116</v>
      </c>
    </row>
    <row r="2" spans="1:12" ht="25.5" customHeight="1" x14ac:dyDescent="0.3">
      <c r="A2" s="34"/>
      <c r="B2" s="35"/>
      <c r="C2" s="34"/>
    </row>
    <row r="3" spans="1:12" x14ac:dyDescent="0.3">
      <c r="A3" s="37" t="s">
        <v>128</v>
      </c>
      <c r="B3" s="35"/>
      <c r="C3" s="34"/>
    </row>
    <row r="4" spans="1:12" x14ac:dyDescent="0.3">
      <c r="A4" s="25" t="s">
        <v>89</v>
      </c>
      <c r="B4" s="26">
        <v>653250.99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3">
      <c r="A5" s="25" t="s">
        <v>13</v>
      </c>
      <c r="B5" s="26">
        <v>1103550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3">
      <c r="A6" s="28" t="s">
        <v>34</v>
      </c>
      <c r="B6" s="29">
        <f>848793.91</f>
        <v>848793.91</v>
      </c>
      <c r="C6" s="27" t="s">
        <v>117</v>
      </c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3">
      <c r="A7" s="27"/>
      <c r="B7" s="26"/>
      <c r="C7" s="27" t="s">
        <v>118</v>
      </c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3">
      <c r="A8" s="27"/>
      <c r="B8" s="26"/>
      <c r="C8" s="27" t="s">
        <v>119</v>
      </c>
      <c r="D8" s="27"/>
      <c r="E8" s="27"/>
      <c r="F8" s="27"/>
      <c r="G8" s="27"/>
      <c r="H8" s="27"/>
      <c r="I8" s="27"/>
      <c r="J8" s="27"/>
      <c r="K8" s="27"/>
      <c r="L8" s="27"/>
    </row>
    <row r="9" spans="1:12" x14ac:dyDescent="0.3">
      <c r="A9" s="27"/>
      <c r="B9" s="26"/>
      <c r="C9" s="27" t="s">
        <v>120</v>
      </c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3">
      <c r="A10" s="27" t="s">
        <v>129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3">
      <c r="A11" s="25" t="s">
        <v>89</v>
      </c>
      <c r="B11" s="26">
        <v>615662.54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x14ac:dyDescent="0.3">
      <c r="A12" s="25" t="s">
        <v>114</v>
      </c>
      <c r="B12" s="26">
        <v>327586.5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3">
      <c r="A13" s="28" t="s">
        <v>113</v>
      </c>
      <c r="B13" s="29">
        <f>387451.24</f>
        <v>387451.24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3">
      <c r="A14" s="27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x14ac:dyDescent="0.3">
      <c r="A15" s="27" t="s">
        <v>130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x14ac:dyDescent="0.3">
      <c r="A16" s="25" t="s">
        <v>89</v>
      </c>
      <c r="B16" s="26">
        <v>-17303.89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3">
      <c r="A17" s="25" t="s">
        <v>15</v>
      </c>
      <c r="B17" s="26">
        <v>91944.25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3">
      <c r="A18" s="28" t="s">
        <v>36</v>
      </c>
      <c r="B18" s="29">
        <f>111987.12+13236.78</f>
        <v>125223.9</v>
      </c>
      <c r="C18" s="27" t="s">
        <v>135</v>
      </c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3">
      <c r="A19" s="28"/>
      <c r="B19" s="29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x14ac:dyDescent="0.3">
      <c r="A20" s="30" t="s">
        <v>121</v>
      </c>
      <c r="B20" s="31">
        <f>B16+B11+B4</f>
        <v>1251609.6400000001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x14ac:dyDescent="0.3">
      <c r="A21" s="25" t="s">
        <v>122</v>
      </c>
      <c r="B21" s="26">
        <f>B17+B12+B5</f>
        <v>1523080.75</v>
      </c>
      <c r="C21" s="27" t="s">
        <v>124</v>
      </c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3">
      <c r="A22" s="33" t="s">
        <v>123</v>
      </c>
      <c r="B22" s="29">
        <f>B18+B13+B6</f>
        <v>1361469.05</v>
      </c>
      <c r="C22" s="38" t="s">
        <v>133</v>
      </c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3">
      <c r="A23" s="22"/>
      <c r="B23" s="20"/>
    </row>
    <row r="24" spans="1:12" x14ac:dyDescent="0.3">
      <c r="A24" s="18" t="s">
        <v>131</v>
      </c>
      <c r="B24" s="19"/>
    </row>
    <row r="25" spans="1:12" x14ac:dyDescent="0.3">
      <c r="A25" s="2" t="s">
        <v>89</v>
      </c>
      <c r="B25" s="19">
        <v>413255.81</v>
      </c>
    </row>
    <row r="26" spans="1:12" x14ac:dyDescent="0.3">
      <c r="A26" s="2" t="s">
        <v>43</v>
      </c>
      <c r="B26" s="19">
        <v>351881.49000000005</v>
      </c>
    </row>
    <row r="27" spans="1:12" x14ac:dyDescent="0.3">
      <c r="A27" s="2" t="s">
        <v>44</v>
      </c>
      <c r="B27" s="20">
        <v>411129.36</v>
      </c>
      <c r="C27" s="18" t="s">
        <v>134</v>
      </c>
    </row>
    <row r="28" spans="1:12" x14ac:dyDescent="0.3">
      <c r="B28" s="19"/>
    </row>
    <row r="29" spans="1:12" x14ac:dyDescent="0.3">
      <c r="A29" s="18" t="s">
        <v>132</v>
      </c>
      <c r="B29" s="19"/>
    </row>
    <row r="30" spans="1:12" x14ac:dyDescent="0.3">
      <c r="A30" s="2" t="s">
        <v>89</v>
      </c>
      <c r="B30" s="19">
        <v>391563</v>
      </c>
    </row>
    <row r="31" spans="1:12" x14ac:dyDescent="0.3">
      <c r="A31" s="2" t="s">
        <v>16</v>
      </c>
      <c r="B31" s="19">
        <v>375000</v>
      </c>
    </row>
    <row r="32" spans="1:12" x14ac:dyDescent="0.3">
      <c r="A32" s="4" t="s">
        <v>17</v>
      </c>
      <c r="B32" s="20">
        <v>340222</v>
      </c>
      <c r="C32" s="18" t="s">
        <v>126</v>
      </c>
    </row>
    <row r="33" spans="1:12" x14ac:dyDescent="0.3">
      <c r="B33" s="19"/>
    </row>
    <row r="34" spans="1:12" ht="13.5" thickBot="1" x14ac:dyDescent="0.35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3.5" thickTop="1" x14ac:dyDescent="0.3">
      <c r="A35" s="2" t="s">
        <v>26</v>
      </c>
      <c r="B35" s="19">
        <f>B31+B26+B21</f>
        <v>2249962.2400000002</v>
      </c>
    </row>
    <row r="36" spans="1:12" x14ac:dyDescent="0.3">
      <c r="A36" s="2" t="s">
        <v>37</v>
      </c>
      <c r="B36" s="20">
        <f>B32+B27+B22</f>
        <v>2112820.41</v>
      </c>
    </row>
    <row r="37" spans="1:12" x14ac:dyDescent="0.3">
      <c r="B37" s="19"/>
    </row>
    <row r="38" spans="1:12" x14ac:dyDescent="0.3">
      <c r="A38" s="2" t="s">
        <v>90</v>
      </c>
      <c r="B38" s="21">
        <f>B36-B35</f>
        <v>-137141.83000000007</v>
      </c>
      <c r="C38" s="18" t="s">
        <v>125</v>
      </c>
    </row>
    <row r="39" spans="1:12" x14ac:dyDescent="0.3">
      <c r="A39" s="2"/>
      <c r="B39" s="19"/>
    </row>
    <row r="40" spans="1:12" x14ac:dyDescent="0.3">
      <c r="A40" s="2" t="s">
        <v>39</v>
      </c>
      <c r="B40" s="19">
        <f>B30+B25+B20</f>
        <v>2056428.4500000002</v>
      </c>
    </row>
    <row r="41" spans="1:12" x14ac:dyDescent="0.3">
      <c r="A41" s="2"/>
      <c r="B41" s="19"/>
    </row>
    <row r="42" spans="1:12" x14ac:dyDescent="0.3">
      <c r="A42" s="2" t="s">
        <v>91</v>
      </c>
      <c r="B42" s="20">
        <f>B36-B40</f>
        <v>56391.959999999963</v>
      </c>
    </row>
    <row r="43" spans="1:12" x14ac:dyDescent="0.3">
      <c r="B43" s="36">
        <v>0.03</v>
      </c>
      <c r="C43" s="18" t="s">
        <v>127</v>
      </c>
    </row>
  </sheetData>
  <printOptions horizontalCentered="1"/>
  <pageMargins left="0.25" right="0.25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7CA42-DFF8-48CA-9BEC-1093624A89E5}">
  <sheetPr>
    <pageSetUpPr fitToPage="1"/>
  </sheetPr>
  <dimension ref="A1:Q44"/>
  <sheetViews>
    <sheetView workbookViewId="0">
      <pane ySplit="1" topLeftCell="A2" activePane="bottomLeft" state="frozen"/>
      <selection pane="bottomLeft" activeCell="E10" sqref="E10"/>
    </sheetView>
  </sheetViews>
  <sheetFormatPr defaultColWidth="9.1796875" defaultRowHeight="18.75" customHeight="1" x14ac:dyDescent="0.3"/>
  <cols>
    <col min="1" max="1" width="29" style="2" customWidth="1"/>
    <col min="2" max="2" width="17.81640625" style="2" customWidth="1"/>
    <col min="3" max="3" width="20.81640625" style="2" bestFit="1" customWidth="1"/>
    <col min="4" max="4" width="19.453125" style="2" bestFit="1" customWidth="1"/>
    <col min="5" max="5" width="21.54296875" style="2" bestFit="1" customWidth="1"/>
    <col min="6" max="6" width="24.7265625" style="2" bestFit="1" customWidth="1"/>
    <col min="7" max="7" width="17.81640625" style="2" customWidth="1"/>
    <col min="8" max="8" width="25.7265625" style="2" customWidth="1"/>
    <col min="9" max="9" width="17.81640625" style="2" customWidth="1"/>
    <col min="10" max="10" width="22.453125" style="2" bestFit="1" customWidth="1"/>
    <col min="11" max="11" width="27.1796875" style="2" bestFit="1" customWidth="1"/>
    <col min="12" max="12" width="20.26953125" style="2" bestFit="1" customWidth="1"/>
    <col min="13" max="14" width="17.81640625" style="2" customWidth="1"/>
    <col min="15" max="15" width="23.453125" style="2" bestFit="1" customWidth="1"/>
    <col min="16" max="16" width="20.1796875" style="2" bestFit="1" customWidth="1"/>
    <col min="17" max="16384" width="9.1796875" style="2"/>
  </cols>
  <sheetData>
    <row r="1" spans="1:17" ht="18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5" t="s">
        <v>92</v>
      </c>
      <c r="P1" s="15" t="s">
        <v>93</v>
      </c>
      <c r="Q1" s="15" t="s">
        <v>94</v>
      </c>
    </row>
    <row r="2" spans="1:17" ht="18.75" customHeight="1" x14ac:dyDescent="0.3">
      <c r="A2" s="2" t="s">
        <v>89</v>
      </c>
      <c r="B2" s="3">
        <v>8954.27</v>
      </c>
      <c r="C2" s="3">
        <v>51710.39</v>
      </c>
      <c r="D2" s="3">
        <v>58858.85</v>
      </c>
      <c r="E2" s="3">
        <v>127459.31</v>
      </c>
      <c r="F2" s="3">
        <v>86547.79</v>
      </c>
      <c r="G2" s="3">
        <v>24531.5</v>
      </c>
      <c r="H2" s="3">
        <v>66210.289999999994</v>
      </c>
      <c r="I2" s="3">
        <v>68609.08</v>
      </c>
      <c r="J2" s="3">
        <v>64556.04</v>
      </c>
      <c r="K2" s="3">
        <v>16926.98</v>
      </c>
      <c r="L2" s="3">
        <v>46564.7</v>
      </c>
      <c r="M2" s="3">
        <v>32321.79</v>
      </c>
      <c r="N2" s="3">
        <f>SUM(B2:M2)</f>
        <v>653250.99</v>
      </c>
    </row>
    <row r="3" spans="1:17" ht="18.75" customHeight="1" x14ac:dyDescent="0.3">
      <c r="A3" s="11" t="s">
        <v>13</v>
      </c>
      <c r="B3" s="3">
        <v>21650</v>
      </c>
      <c r="C3" s="3">
        <v>55250</v>
      </c>
      <c r="D3" s="3">
        <v>80250</v>
      </c>
      <c r="E3" s="3">
        <v>141000</v>
      </c>
      <c r="F3" s="3">
        <v>60050</v>
      </c>
      <c r="G3" s="3">
        <v>8500</v>
      </c>
      <c r="H3" s="3">
        <v>131250</v>
      </c>
      <c r="I3" s="3">
        <v>76750</v>
      </c>
      <c r="J3" s="3">
        <v>42900</v>
      </c>
      <c r="K3" s="3">
        <v>129900</v>
      </c>
      <c r="L3" s="3">
        <v>103600</v>
      </c>
      <c r="M3" s="3">
        <v>252450</v>
      </c>
      <c r="N3" s="3">
        <f>SUM(B3:M3)</f>
        <v>1103550</v>
      </c>
    </row>
    <row r="4" spans="1:17" ht="18.75" customHeight="1" x14ac:dyDescent="0.3">
      <c r="A4" s="4" t="s">
        <v>34</v>
      </c>
      <c r="B4" s="5">
        <v>44892.77</v>
      </c>
      <c r="C4" s="5">
        <v>66073.740000000005</v>
      </c>
      <c r="D4" s="5">
        <v>78462.759999999995</v>
      </c>
      <c r="E4" s="5">
        <v>155226.23999999999</v>
      </c>
      <c r="F4" s="5">
        <v>9860.7800000000007</v>
      </c>
      <c r="G4" s="5">
        <v>31127.54</v>
      </c>
      <c r="H4" s="5">
        <v>89125.51</v>
      </c>
      <c r="I4" s="3">
        <v>76250</v>
      </c>
      <c r="J4" s="3">
        <v>32900</v>
      </c>
      <c r="K4" s="3">
        <f>115900+10000</f>
        <v>125900</v>
      </c>
      <c r="L4" s="3">
        <f>68600+25000</f>
        <v>93600</v>
      </c>
      <c r="M4" s="3">
        <f>125950+25000</f>
        <v>150950</v>
      </c>
      <c r="N4" s="3">
        <f>SUM(B4:M4)</f>
        <v>954369.34000000008</v>
      </c>
    </row>
    <row r="5" spans="1:17" ht="18.75" customHeight="1" x14ac:dyDescent="0.3">
      <c r="B5" s="4" t="s">
        <v>61</v>
      </c>
      <c r="D5" s="6" t="s">
        <v>69</v>
      </c>
      <c r="E5" s="6" t="s">
        <v>70</v>
      </c>
      <c r="G5" s="6" t="s">
        <v>73</v>
      </c>
      <c r="H5" s="6" t="s">
        <v>20</v>
      </c>
      <c r="I5" s="10" t="s">
        <v>52</v>
      </c>
      <c r="J5" s="9" t="s">
        <v>55</v>
      </c>
      <c r="K5" s="10" t="s">
        <v>23</v>
      </c>
      <c r="L5" s="10" t="s">
        <v>82</v>
      </c>
      <c r="M5" s="10" t="s">
        <v>83</v>
      </c>
    </row>
    <row r="6" spans="1:17" ht="18.75" customHeight="1" x14ac:dyDescent="0.3">
      <c r="D6" s="6" t="s">
        <v>64</v>
      </c>
      <c r="E6" s="6" t="s">
        <v>80</v>
      </c>
      <c r="H6" s="6" t="s">
        <v>30</v>
      </c>
      <c r="J6" s="2" t="s">
        <v>87</v>
      </c>
      <c r="K6" s="7" t="s">
        <v>86</v>
      </c>
      <c r="L6" s="7" t="s">
        <v>95</v>
      </c>
      <c r="M6" s="9" t="s">
        <v>49</v>
      </c>
    </row>
    <row r="7" spans="1:17" ht="18.75" customHeight="1" x14ac:dyDescent="0.3">
      <c r="D7" s="6" t="s">
        <v>65</v>
      </c>
      <c r="E7" s="6" t="s">
        <v>71</v>
      </c>
      <c r="H7" s="9" t="s">
        <v>46</v>
      </c>
      <c r="J7" s="2" t="s">
        <v>88</v>
      </c>
      <c r="K7" s="2" t="s">
        <v>97</v>
      </c>
      <c r="L7" s="7" t="s">
        <v>19</v>
      </c>
      <c r="M7" s="7" t="s">
        <v>96</v>
      </c>
    </row>
    <row r="8" spans="1:17" ht="18.75" customHeight="1" x14ac:dyDescent="0.3">
      <c r="D8" s="6" t="s">
        <v>98</v>
      </c>
      <c r="H8" s="9" t="s">
        <v>81</v>
      </c>
      <c r="K8" s="7" t="s">
        <v>84</v>
      </c>
      <c r="L8" s="9" t="s">
        <v>53</v>
      </c>
      <c r="M8" s="7" t="s">
        <v>85</v>
      </c>
    </row>
    <row r="9" spans="1:17" ht="18.75" customHeight="1" x14ac:dyDescent="0.3">
      <c r="D9" s="6" t="s">
        <v>68</v>
      </c>
      <c r="H9" s="9" t="s">
        <v>45</v>
      </c>
      <c r="K9" s="9" t="s">
        <v>47</v>
      </c>
    </row>
    <row r="10" spans="1:17" ht="18.75" customHeight="1" x14ac:dyDescent="0.3">
      <c r="D10" s="6"/>
      <c r="H10" s="9" t="s">
        <v>51</v>
      </c>
      <c r="K10" s="9" t="s">
        <v>54</v>
      </c>
    </row>
    <row r="11" spans="1:17" ht="18.75" customHeight="1" x14ac:dyDescent="0.3">
      <c r="D11" s="6"/>
      <c r="H11" s="9"/>
      <c r="K11" s="9"/>
    </row>
    <row r="12" spans="1:17" ht="18.75" customHeight="1" x14ac:dyDescent="0.3">
      <c r="A12" s="2" t="s">
        <v>89</v>
      </c>
      <c r="B12" s="3">
        <v>0</v>
      </c>
      <c r="C12" s="3">
        <v>12860</v>
      </c>
      <c r="D12" s="3">
        <v>0</v>
      </c>
      <c r="E12" s="3">
        <v>0</v>
      </c>
      <c r="F12" s="3">
        <v>109260</v>
      </c>
      <c r="G12" s="3">
        <v>0</v>
      </c>
      <c r="H12" s="3">
        <v>1840</v>
      </c>
      <c r="I12" s="3">
        <v>188410.1</v>
      </c>
      <c r="J12" s="3">
        <v>82691</v>
      </c>
      <c r="K12" s="3">
        <v>137000</v>
      </c>
      <c r="L12" s="3">
        <v>0</v>
      </c>
      <c r="M12" s="3">
        <f>54399+29202.44</f>
        <v>83601.440000000002</v>
      </c>
      <c r="N12" s="3">
        <f>SUM(B12:M12)</f>
        <v>615662.54</v>
      </c>
    </row>
    <row r="13" spans="1:17" ht="18.75" customHeight="1" x14ac:dyDescent="0.3">
      <c r="A13" s="11" t="s">
        <v>14</v>
      </c>
      <c r="B13" s="3">
        <v>35916.67</v>
      </c>
      <c r="C13" s="3">
        <v>51266.67</v>
      </c>
      <c r="D13" s="3">
        <v>22916.67</v>
      </c>
      <c r="E13" s="3">
        <v>50416.67</v>
      </c>
      <c r="F13" s="3">
        <v>40416.67</v>
      </c>
      <c r="G13" s="3">
        <v>10416.67</v>
      </c>
      <c r="H13" s="3">
        <v>20416.669999999998</v>
      </c>
      <c r="I13" s="3">
        <v>10416.67</v>
      </c>
      <c r="J13" s="3">
        <v>22416.66</v>
      </c>
      <c r="K13" s="3">
        <v>10416.66</v>
      </c>
      <c r="L13" s="3">
        <v>10416.66</v>
      </c>
      <c r="M13" s="3">
        <v>42153.16</v>
      </c>
      <c r="N13" s="3">
        <f>SUM(B13:M13)</f>
        <v>327586.5</v>
      </c>
    </row>
    <row r="14" spans="1:17" ht="18.75" customHeight="1" x14ac:dyDescent="0.3">
      <c r="A14" s="4" t="s">
        <v>35</v>
      </c>
      <c r="B14" s="5">
        <v>40516.67</v>
      </c>
      <c r="C14" s="5">
        <v>51066.67</v>
      </c>
      <c r="D14" s="5">
        <v>34027.67</v>
      </c>
      <c r="E14" s="5">
        <v>57916.67</v>
      </c>
      <c r="F14" s="5">
        <v>40416.67</v>
      </c>
      <c r="G14" s="5">
        <v>29140.7</v>
      </c>
      <c r="H14" s="5">
        <v>19696.349999999999</v>
      </c>
      <c r="I14" s="3">
        <v>10416.67</v>
      </c>
      <c r="J14" s="3">
        <v>32416.66</v>
      </c>
      <c r="K14" s="3">
        <v>10416.66</v>
      </c>
      <c r="L14" s="3">
        <v>10416.66</v>
      </c>
      <c r="M14" s="3">
        <v>42153.16</v>
      </c>
      <c r="N14" s="3">
        <f>SUM(B14:M14)</f>
        <v>378601.20999999985</v>
      </c>
    </row>
    <row r="15" spans="1:17" ht="18.75" customHeight="1" x14ac:dyDescent="0.3">
      <c r="B15" s="4" t="s">
        <v>78</v>
      </c>
      <c r="C15" s="4" t="s">
        <v>74</v>
      </c>
      <c r="D15" s="4" t="s">
        <v>75</v>
      </c>
      <c r="E15" s="4" t="s">
        <v>41</v>
      </c>
      <c r="F15" s="4" t="s">
        <v>77</v>
      </c>
      <c r="G15" s="4" t="s">
        <v>74</v>
      </c>
      <c r="H15" s="4" t="s">
        <v>74</v>
      </c>
      <c r="I15" s="2" t="s">
        <v>74</v>
      </c>
      <c r="J15" s="2" t="s">
        <v>74</v>
      </c>
      <c r="K15" s="2" t="s">
        <v>74</v>
      </c>
      <c r="L15" s="7" t="s">
        <v>22</v>
      </c>
      <c r="M15" s="7" t="s">
        <v>21</v>
      </c>
    </row>
    <row r="16" spans="1:17" ht="18.75" customHeight="1" x14ac:dyDescent="0.3">
      <c r="B16" s="4" t="s">
        <v>74</v>
      </c>
      <c r="C16" s="4" t="s">
        <v>79</v>
      </c>
      <c r="D16" s="4" t="s">
        <v>74</v>
      </c>
      <c r="E16" s="4" t="s">
        <v>74</v>
      </c>
      <c r="F16" s="4" t="s">
        <v>74</v>
      </c>
      <c r="J16" s="2" t="s">
        <v>25</v>
      </c>
      <c r="M16" s="7" t="s">
        <v>22</v>
      </c>
    </row>
    <row r="17" spans="1:14" ht="18.75" customHeight="1" x14ac:dyDescent="0.3">
      <c r="B17" s="6"/>
      <c r="C17" s="6" t="s">
        <v>76</v>
      </c>
      <c r="J17" s="2" t="s">
        <v>24</v>
      </c>
    </row>
    <row r="18" spans="1:14" ht="18.75" customHeight="1" x14ac:dyDescent="0.3">
      <c r="B18" s="6"/>
      <c r="C18" s="6"/>
    </row>
    <row r="19" spans="1:14" ht="18.75" customHeight="1" x14ac:dyDescent="0.3">
      <c r="A19" s="2" t="s">
        <v>89</v>
      </c>
      <c r="B19" s="3">
        <v>318.02999999999997</v>
      </c>
      <c r="C19" s="3">
        <f>0-745.25</f>
        <v>-745.25</v>
      </c>
      <c r="D19" s="3">
        <v>3563.04</v>
      </c>
      <c r="E19" s="3">
        <f>7049.09+1830</f>
        <v>8879.09</v>
      </c>
      <c r="F19" s="3">
        <f>0-20371.66+12600</f>
        <v>-7771.66</v>
      </c>
      <c r="G19" s="3">
        <f>931.68-9421.31</f>
        <v>-8489.6299999999992</v>
      </c>
      <c r="H19" s="3">
        <f>7406.98-38645.58</f>
        <v>-31238.600000000002</v>
      </c>
      <c r="I19" s="3">
        <f>12719.89+5546.2</f>
        <v>18266.09</v>
      </c>
      <c r="J19" s="3">
        <f>2768.59-911.37</f>
        <v>1857.2200000000003</v>
      </c>
      <c r="K19" s="3">
        <v>6537.27</v>
      </c>
      <c r="L19" s="3">
        <f>0-1654.57</f>
        <v>-1654.57</v>
      </c>
      <c r="M19" s="3">
        <f>0-6648.91-176.01</f>
        <v>-6824.92</v>
      </c>
      <c r="N19" s="3">
        <f>SUM(B19:M19)</f>
        <v>-17303.89</v>
      </c>
    </row>
    <row r="20" spans="1:14" ht="18.75" customHeight="1" x14ac:dyDescent="0.3">
      <c r="A20" s="11" t="s">
        <v>15</v>
      </c>
      <c r="B20" s="3">
        <v>-1105.29</v>
      </c>
      <c r="C20" s="3">
        <v>10019.75</v>
      </c>
      <c r="D20" s="3">
        <v>51904.79</v>
      </c>
      <c r="E20" s="3">
        <f>26000+46618</f>
        <v>72618</v>
      </c>
      <c r="F20" s="3">
        <f>-13450+661.03</f>
        <v>-12788.97</v>
      </c>
      <c r="G20" s="3">
        <f>-7680+5616.72</f>
        <v>-2063.2799999999997</v>
      </c>
      <c r="H20" s="3">
        <f>-3320-43577.84</f>
        <v>-46897.84</v>
      </c>
      <c r="I20" s="3">
        <f>-1680-4935.91</f>
        <v>-6615.91</v>
      </c>
      <c r="J20" s="3">
        <v>19500</v>
      </c>
      <c r="K20" s="3">
        <f>-3845+1406</f>
        <v>-2439</v>
      </c>
      <c r="L20" s="3">
        <f>3500+1406</f>
        <v>4906</v>
      </c>
      <c r="M20" s="3">
        <f>3500+1406</f>
        <v>4906</v>
      </c>
      <c r="N20" s="3">
        <f>SUM(B20:M20)</f>
        <v>91944.25</v>
      </c>
    </row>
    <row r="21" spans="1:14" ht="18.75" customHeight="1" x14ac:dyDescent="0.3">
      <c r="A21" s="4" t="s">
        <v>36</v>
      </c>
      <c r="B21" s="5">
        <v>17165.599999999999</v>
      </c>
      <c r="C21" s="5">
        <f>56532.78+5000</f>
        <v>61532.78</v>
      </c>
      <c r="D21" s="5">
        <f>-4433.79-425</f>
        <v>-4858.79</v>
      </c>
      <c r="E21" s="5">
        <f>14700.56+2365.25</f>
        <v>17065.809999999998</v>
      </c>
      <c r="F21" s="5">
        <f>5332.12-456.38</f>
        <v>4875.74</v>
      </c>
      <c r="G21" s="5">
        <f>-4929.38+217.86</f>
        <v>-4711.5200000000004</v>
      </c>
      <c r="H21" s="5">
        <f>-11725.18-16948.29</f>
        <v>-28673.47</v>
      </c>
      <c r="I21" s="3">
        <f>-1680+20064.09</f>
        <v>18384.09</v>
      </c>
      <c r="J21" s="3">
        <v>18000</v>
      </c>
      <c r="K21" s="3">
        <f>-3845+1406</f>
        <v>-2439</v>
      </c>
      <c r="L21" s="3">
        <f>3500+1406</f>
        <v>4906</v>
      </c>
      <c r="M21" s="3">
        <f>13500+1406</f>
        <v>14906</v>
      </c>
      <c r="N21" s="3">
        <f>SUM(B21:M21)</f>
        <v>116153.24</v>
      </c>
    </row>
    <row r="22" spans="1:14" ht="18.75" customHeight="1" x14ac:dyDescent="0.3">
      <c r="A22" s="7" t="s">
        <v>31</v>
      </c>
      <c r="I22" s="7" t="s">
        <v>32</v>
      </c>
      <c r="M22" s="2" t="s">
        <v>38</v>
      </c>
    </row>
    <row r="23" spans="1:14" ht="18.75" customHeight="1" x14ac:dyDescent="0.3">
      <c r="C23" s="6" t="s">
        <v>62</v>
      </c>
      <c r="D23" s="4" t="s">
        <v>66</v>
      </c>
      <c r="E23" s="6" t="s">
        <v>72</v>
      </c>
    </row>
    <row r="24" spans="1:14" ht="18.75" customHeight="1" x14ac:dyDescent="0.3">
      <c r="C24" s="6" t="s">
        <v>63</v>
      </c>
      <c r="F24" s="7"/>
    </row>
    <row r="25" spans="1:14" ht="18.75" customHeight="1" x14ac:dyDescent="0.3">
      <c r="C25" s="6"/>
      <c r="F25" s="7"/>
    </row>
    <row r="26" spans="1:14" ht="18.75" customHeight="1" x14ac:dyDescent="0.3">
      <c r="A26" s="2" t="s">
        <v>89</v>
      </c>
      <c r="B26" s="3">
        <v>23786.73</v>
      </c>
      <c r="C26" s="3">
        <v>24933.4</v>
      </c>
      <c r="D26" s="3">
        <v>24933.4</v>
      </c>
      <c r="E26" s="3">
        <v>79175.56</v>
      </c>
      <c r="F26" s="3">
        <v>35538.129999999997</v>
      </c>
      <c r="G26" s="3">
        <v>24236.34</v>
      </c>
      <c r="H26" s="3">
        <v>24933.48</v>
      </c>
      <c r="I26" s="3">
        <v>7381.72</v>
      </c>
      <c r="J26" s="3">
        <v>38401.980000000003</v>
      </c>
      <c r="K26" s="3">
        <v>27342.48</v>
      </c>
      <c r="L26" s="3">
        <v>27342.48</v>
      </c>
      <c r="M26" s="3">
        <f>73551.38+1698.73</f>
        <v>75250.11</v>
      </c>
      <c r="N26" s="3">
        <f>SUM(B26:M26)</f>
        <v>413255.80999999994</v>
      </c>
    </row>
    <row r="27" spans="1:14" ht="18.75" customHeight="1" x14ac:dyDescent="0.3">
      <c r="A27" s="2" t="s">
        <v>43</v>
      </c>
      <c r="B27" s="3">
        <v>34636.06</v>
      </c>
      <c r="C27" s="3">
        <v>35257.480000000003</v>
      </c>
      <c r="D27" s="3">
        <v>35257.480000000003</v>
      </c>
      <c r="E27" s="3">
        <v>35257.480000000003</v>
      </c>
      <c r="F27" s="3">
        <v>18749.66</v>
      </c>
      <c r="G27" s="3">
        <v>18749.66</v>
      </c>
      <c r="H27" s="3">
        <v>18749.66</v>
      </c>
      <c r="I27" s="3">
        <v>18749.66</v>
      </c>
      <c r="J27" s="3">
        <v>18749.66</v>
      </c>
      <c r="K27" s="3">
        <v>18749.650000000001</v>
      </c>
      <c r="L27" s="3">
        <v>17506.810000000001</v>
      </c>
      <c r="M27" s="3">
        <v>81468.23</v>
      </c>
      <c r="N27" s="3">
        <f>SUM(B27:M27)</f>
        <v>351881.49000000005</v>
      </c>
    </row>
    <row r="28" spans="1:14" ht="18.75" customHeight="1" x14ac:dyDescent="0.3">
      <c r="A28" s="2" t="s">
        <v>44</v>
      </c>
      <c r="B28" s="5">
        <v>26721.06</v>
      </c>
      <c r="C28" s="5">
        <v>27342.48</v>
      </c>
      <c r="D28" s="5">
        <v>27342.48</v>
      </c>
      <c r="E28" s="5">
        <v>30881.52</v>
      </c>
      <c r="F28" s="5">
        <v>53064.08</v>
      </c>
      <c r="G28" s="5">
        <v>29949.89</v>
      </c>
      <c r="H28" s="5">
        <v>29389.29</v>
      </c>
      <c r="I28" s="3">
        <v>16852.599999999999</v>
      </c>
      <c r="J28" s="3">
        <v>16952.599999999999</v>
      </c>
      <c r="K28" s="3">
        <v>17352.599999999999</v>
      </c>
      <c r="L28" s="3">
        <v>16078.02</v>
      </c>
      <c r="M28" s="3">
        <v>79418.02</v>
      </c>
      <c r="N28" s="3">
        <f>SUM(B28:M28)</f>
        <v>371344.64000000007</v>
      </c>
    </row>
    <row r="29" spans="1:14" ht="18.75" customHeight="1" x14ac:dyDescent="0.3">
      <c r="F29" s="7"/>
    </row>
    <row r="30" spans="1:14" ht="18.75" customHeight="1" x14ac:dyDescent="0.3">
      <c r="F30" s="7"/>
    </row>
    <row r="31" spans="1:14" ht="18.75" customHeight="1" x14ac:dyDescent="0.3">
      <c r="A31" s="2" t="s">
        <v>89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391563</v>
      </c>
      <c r="M31" s="3">
        <v>0</v>
      </c>
      <c r="N31" s="3">
        <f>SUM(B31:M31)</f>
        <v>391563</v>
      </c>
    </row>
    <row r="32" spans="1:14" ht="18.75" customHeight="1" x14ac:dyDescent="0.3">
      <c r="A32" s="2" t="s">
        <v>16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375000</v>
      </c>
      <c r="M32" s="3">
        <v>0</v>
      </c>
      <c r="N32" s="3">
        <f>SUM(B32:M32)</f>
        <v>375000</v>
      </c>
    </row>
    <row r="33" spans="1:15" ht="18.75" customHeight="1" x14ac:dyDescent="0.3">
      <c r="A33" s="4" t="s">
        <v>17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3">
        <v>0</v>
      </c>
      <c r="I33" s="3">
        <v>0</v>
      </c>
      <c r="J33" s="3">
        <v>0</v>
      </c>
      <c r="K33" s="3"/>
      <c r="L33" s="3">
        <v>375000</v>
      </c>
      <c r="M33" s="3">
        <v>0</v>
      </c>
      <c r="N33" s="3">
        <f>SUM(B33:M33)</f>
        <v>375000</v>
      </c>
    </row>
    <row r="36" spans="1:15" ht="18.75" customHeight="1" x14ac:dyDescent="0.3">
      <c r="A36" s="2" t="s">
        <v>26</v>
      </c>
      <c r="B36" s="3">
        <f t="shared" ref="B36:N36" si="0">B32+B20+B13+B3+B27</f>
        <v>91097.44</v>
      </c>
      <c r="C36" s="3">
        <f t="shared" si="0"/>
        <v>151793.9</v>
      </c>
      <c r="D36" s="3">
        <f t="shared" si="0"/>
        <v>190328.94</v>
      </c>
      <c r="E36" s="3">
        <f t="shared" si="0"/>
        <v>299292.14999999997</v>
      </c>
      <c r="F36" s="3">
        <f t="shared" si="0"/>
        <v>106427.36</v>
      </c>
      <c r="G36" s="3">
        <f t="shared" si="0"/>
        <v>35603.050000000003</v>
      </c>
      <c r="H36" s="3">
        <f t="shared" si="0"/>
        <v>123518.49</v>
      </c>
      <c r="I36" s="3">
        <f t="shared" si="0"/>
        <v>99300.42</v>
      </c>
      <c r="J36" s="3">
        <f t="shared" si="0"/>
        <v>103566.32</v>
      </c>
      <c r="K36" s="3">
        <f t="shared" si="0"/>
        <v>156627.31</v>
      </c>
      <c r="L36" s="3">
        <f t="shared" si="0"/>
        <v>511429.47</v>
      </c>
      <c r="M36" s="3">
        <f t="shared" si="0"/>
        <v>380977.39</v>
      </c>
      <c r="N36" s="3">
        <f t="shared" si="0"/>
        <v>2249962.2400000002</v>
      </c>
    </row>
    <row r="37" spans="1:15" ht="18.75" customHeight="1" x14ac:dyDescent="0.3">
      <c r="A37" s="2" t="s">
        <v>37</v>
      </c>
      <c r="B37" s="5">
        <f t="shared" ref="B37:M37" si="1">B33+B21+B14+B4+B28</f>
        <v>129296.09999999999</v>
      </c>
      <c r="C37" s="5">
        <f t="shared" si="1"/>
        <v>206015.67</v>
      </c>
      <c r="D37" s="5">
        <f t="shared" si="1"/>
        <v>134974.12</v>
      </c>
      <c r="E37" s="5">
        <f t="shared" si="1"/>
        <v>261090.23999999996</v>
      </c>
      <c r="F37" s="5">
        <f t="shared" si="1"/>
        <v>108217.26999999999</v>
      </c>
      <c r="G37" s="5">
        <f t="shared" si="1"/>
        <v>85506.61</v>
      </c>
      <c r="H37" s="5">
        <f t="shared" si="1"/>
        <v>109537.68</v>
      </c>
      <c r="I37" s="3">
        <f t="shared" si="1"/>
        <v>121903.36000000002</v>
      </c>
      <c r="J37" s="3">
        <f t="shared" si="1"/>
        <v>100269.26000000001</v>
      </c>
      <c r="K37" s="3">
        <f t="shared" si="1"/>
        <v>151230.26</v>
      </c>
      <c r="L37" s="3">
        <f t="shared" si="1"/>
        <v>500000.68</v>
      </c>
      <c r="M37" s="3">
        <f t="shared" si="1"/>
        <v>287427.18</v>
      </c>
      <c r="N37" s="3">
        <f>SUM(B37:M37)</f>
        <v>2195468.4300000002</v>
      </c>
    </row>
    <row r="39" spans="1:15" ht="18.75" customHeight="1" x14ac:dyDescent="0.3">
      <c r="A39" s="2" t="s">
        <v>90</v>
      </c>
      <c r="B39" s="3">
        <f>B37-B36</f>
        <v>38198.659999999989</v>
      </c>
      <c r="C39" s="3">
        <f>C37-C36+B39</f>
        <v>92420.430000000008</v>
      </c>
      <c r="D39" s="3">
        <f>D37-D36+C39</f>
        <v>37065.61</v>
      </c>
      <c r="E39" s="3">
        <f>E37-E36+D39</f>
        <v>-1136.3000000000029</v>
      </c>
      <c r="F39" s="3">
        <f>F37-F36+E39</f>
        <v>653.60999999998603</v>
      </c>
      <c r="G39" s="3">
        <f>G37-G36+F39</f>
        <v>50557.169999999984</v>
      </c>
      <c r="H39" s="3">
        <f t="shared" ref="H39:M39" si="2">H37-H36+G39</f>
        <v>36576.359999999971</v>
      </c>
      <c r="I39" s="3">
        <f t="shared" si="2"/>
        <v>59179.299999999988</v>
      </c>
      <c r="J39" s="3">
        <f t="shared" si="2"/>
        <v>55882.239999999991</v>
      </c>
      <c r="K39" s="3">
        <f t="shared" si="2"/>
        <v>50485.19</v>
      </c>
      <c r="L39" s="3">
        <f t="shared" si="2"/>
        <v>39056.400000000023</v>
      </c>
      <c r="M39" s="3">
        <f t="shared" si="2"/>
        <v>-54493.81</v>
      </c>
      <c r="N39" s="13">
        <f>N37-N36</f>
        <v>-54493.810000000056</v>
      </c>
    </row>
    <row r="41" spans="1:15" ht="18.75" customHeight="1" x14ac:dyDescent="0.3">
      <c r="A41" s="2" t="s">
        <v>39</v>
      </c>
      <c r="B41" s="3">
        <f t="shared" ref="B41:L41" si="3">B31+B26+B19+B12+B2</f>
        <v>33059.03</v>
      </c>
      <c r="C41" s="3">
        <f t="shared" si="3"/>
        <v>88758.540000000008</v>
      </c>
      <c r="D41" s="3">
        <f t="shared" si="3"/>
        <v>87355.290000000008</v>
      </c>
      <c r="E41" s="3">
        <f t="shared" si="3"/>
        <v>215513.96</v>
      </c>
      <c r="F41" s="3">
        <f t="shared" si="3"/>
        <v>223574.26</v>
      </c>
      <c r="G41" s="3">
        <f t="shared" si="3"/>
        <v>40278.21</v>
      </c>
      <c r="H41" s="3">
        <f t="shared" si="3"/>
        <v>61745.169999999991</v>
      </c>
      <c r="I41" s="3">
        <f t="shared" si="3"/>
        <v>282666.99</v>
      </c>
      <c r="J41" s="3">
        <f t="shared" si="3"/>
        <v>187506.24000000002</v>
      </c>
      <c r="K41" s="3">
        <f t="shared" si="3"/>
        <v>187806.73</v>
      </c>
      <c r="L41" s="3">
        <f t="shared" si="3"/>
        <v>463815.61</v>
      </c>
      <c r="M41" s="3">
        <f>M26+M31+M19+M12+M2</f>
        <v>184348.42</v>
      </c>
      <c r="N41" s="3">
        <f>SUM(B41:M41)</f>
        <v>2056428.4500000002</v>
      </c>
      <c r="O41" s="3"/>
    </row>
    <row r="43" spans="1:15" ht="18.75" customHeight="1" x14ac:dyDescent="0.3">
      <c r="A43" s="2" t="s">
        <v>91</v>
      </c>
      <c r="B43" s="3">
        <f>B37-B41</f>
        <v>96237.069999999992</v>
      </c>
      <c r="C43" s="3">
        <f t="shared" ref="C43:M43" si="4">B43+C37-C41</f>
        <v>213494.19999999998</v>
      </c>
      <c r="D43" s="3">
        <f t="shared" si="4"/>
        <v>261113.02999999994</v>
      </c>
      <c r="E43" s="3">
        <f t="shared" si="4"/>
        <v>306689.30999999994</v>
      </c>
      <c r="F43" s="3">
        <f t="shared" si="4"/>
        <v>191332.31999999995</v>
      </c>
      <c r="G43" s="3">
        <f t="shared" si="4"/>
        <v>236560.71999999994</v>
      </c>
      <c r="H43" s="3">
        <f t="shared" si="4"/>
        <v>284353.22999999992</v>
      </c>
      <c r="I43" s="3">
        <f t="shared" si="4"/>
        <v>123589.59999999998</v>
      </c>
      <c r="J43" s="3">
        <f t="shared" si="4"/>
        <v>36352.619999999966</v>
      </c>
      <c r="K43" s="3">
        <f t="shared" si="4"/>
        <v>-223.85000000003492</v>
      </c>
      <c r="L43" s="3">
        <f t="shared" si="4"/>
        <v>35961.219999999972</v>
      </c>
      <c r="M43" s="3">
        <f t="shared" si="4"/>
        <v>139039.97999999995</v>
      </c>
      <c r="N43" s="13">
        <f>N37-N41</f>
        <v>139039.97999999998</v>
      </c>
    </row>
    <row r="44" spans="1:15" ht="18.75" customHeight="1" x14ac:dyDescent="0.3">
      <c r="B44" s="12">
        <f>B37/B41-1</f>
        <v>2.9110675661082612</v>
      </c>
      <c r="C44" s="12">
        <f>SUM(B37:C37)/SUM(B41:C41)-1</f>
        <v>1.7525731304605729</v>
      </c>
      <c r="D44" s="12">
        <f>SUM(B37:D37)/SUM(B41:D41)-1</f>
        <v>1.2483121854336168</v>
      </c>
      <c r="E44" s="12">
        <f>SUM(B37:E37)/SUM(B41:E41)-1</f>
        <v>0.72215405695896084</v>
      </c>
      <c r="F44" s="12">
        <f>SUM(B37:F37)/SUM(B41:F41)-1</f>
        <v>0.29514701083088313</v>
      </c>
      <c r="G44" s="12">
        <f>SUM(B37:G37)/SUM(B41:G41)-1</f>
        <v>0.34356894869427124</v>
      </c>
      <c r="H44" s="12">
        <f>SUM(B37:H37)/SUM(B41:H41)-1</f>
        <v>0.37899389519543014</v>
      </c>
      <c r="I44" s="12">
        <f>SUM(B37:I37)/SUM(B41:I41)-1</f>
        <v>0.11964705601604031</v>
      </c>
      <c r="J44" s="12">
        <f>SUM(B37:J37)/SUM(B41:J41)-1</f>
        <v>2.9786055098722786E-2</v>
      </c>
      <c r="K44" s="12">
        <f>SUM(B37:K37)/SUM(B41:K41)-1</f>
        <v>-1.5895452361147644E-4</v>
      </c>
      <c r="L44" s="12">
        <f>SUM(B37:L37)/SUM(B41:L41)-1</f>
        <v>1.9209232203603932E-2</v>
      </c>
      <c r="M44" s="12">
        <f>SUM(B37:M37)/SUM(B41:M41)-1</f>
        <v>6.7612359671448852E-2</v>
      </c>
      <c r="N44" s="14">
        <f>M44</f>
        <v>6.7612359671448852E-2</v>
      </c>
    </row>
  </sheetData>
  <printOptions gridLines="1"/>
  <pageMargins left="0.2" right="0.2" top="0.75" bottom="0.75" header="0.3" footer="0.3"/>
  <pageSetup paperSize="5" scale="59" fitToHeight="0" orientation="landscape" verticalDpi="1200" r:id="rId1"/>
  <headerFooter>
    <oddHeader>&amp;C&amp;F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D1" workbookViewId="0">
      <pane ySplit="1" topLeftCell="A2" activePane="bottomLeft" state="frozen"/>
      <selection pane="bottomLeft" activeCell="G19" sqref="G19"/>
    </sheetView>
  </sheetViews>
  <sheetFormatPr defaultColWidth="9.1796875" defaultRowHeight="18.75" customHeight="1" x14ac:dyDescent="0.3"/>
  <cols>
    <col min="1" max="1" width="29" style="2" customWidth="1"/>
    <col min="2" max="2" width="17.81640625" style="2" customWidth="1"/>
    <col min="3" max="3" width="20.81640625" style="2" bestFit="1" customWidth="1"/>
    <col min="4" max="4" width="19.453125" style="2" bestFit="1" customWidth="1"/>
    <col min="5" max="5" width="21.54296875" style="2" bestFit="1" customWidth="1"/>
    <col min="6" max="6" width="24.7265625" style="2" bestFit="1" customWidth="1"/>
    <col min="7" max="7" width="17.81640625" style="2" customWidth="1"/>
    <col min="8" max="8" width="25.7265625" style="2" customWidth="1"/>
    <col min="9" max="9" width="17.81640625" style="2" customWidth="1"/>
    <col min="10" max="10" width="22.453125" style="2" bestFit="1" customWidth="1"/>
    <col min="11" max="11" width="25.1796875" style="2" bestFit="1" customWidth="1"/>
    <col min="12" max="12" width="20.26953125" style="2" bestFit="1" customWidth="1"/>
    <col min="13" max="14" width="17.81640625" style="2" customWidth="1"/>
    <col min="15" max="16384" width="9.1796875" style="2"/>
  </cols>
  <sheetData>
    <row r="1" spans="1:14" ht="18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8.75" customHeight="1" x14ac:dyDescent="0.3">
      <c r="A2" s="2" t="s">
        <v>13</v>
      </c>
      <c r="B2" s="3">
        <v>21650</v>
      </c>
      <c r="C2" s="3">
        <v>55250</v>
      </c>
      <c r="D2" s="3">
        <v>80250</v>
      </c>
      <c r="E2" s="3">
        <v>141000</v>
      </c>
      <c r="F2" s="3">
        <v>60050</v>
      </c>
      <c r="G2" s="3">
        <v>8500</v>
      </c>
      <c r="H2" s="3">
        <v>131250</v>
      </c>
      <c r="I2" s="3">
        <v>76750</v>
      </c>
      <c r="J2" s="3">
        <v>42900</v>
      </c>
      <c r="K2" s="3">
        <v>129900</v>
      </c>
      <c r="L2" s="3">
        <v>103600</v>
      </c>
      <c r="M2" s="3">
        <v>252450</v>
      </c>
      <c r="N2" s="3">
        <f>SUM(B2:M2)</f>
        <v>1103550</v>
      </c>
    </row>
    <row r="3" spans="1:14" ht="18.75" customHeight="1" x14ac:dyDescent="0.3">
      <c r="A3" s="4" t="s">
        <v>34</v>
      </c>
      <c r="B3" s="5">
        <v>44892.77</v>
      </c>
      <c r="C3" s="5">
        <v>66073.740000000005</v>
      </c>
      <c r="D3" s="5">
        <v>78462.759999999995</v>
      </c>
      <c r="E3" s="5">
        <v>155226.23999999999</v>
      </c>
      <c r="F3" s="5">
        <v>9860.7800000000007</v>
      </c>
      <c r="G3" s="5">
        <v>31127.54</v>
      </c>
      <c r="H3" s="5">
        <v>89125.51</v>
      </c>
      <c r="I3" s="3">
        <v>76250</v>
      </c>
      <c r="J3" s="3">
        <v>32900</v>
      </c>
      <c r="K3" s="3">
        <f>109900</f>
        <v>109900</v>
      </c>
      <c r="L3" s="3">
        <v>83100</v>
      </c>
      <c r="M3" s="3">
        <v>117450</v>
      </c>
      <c r="N3" s="3">
        <f>SUM(B3:M3)</f>
        <v>894369.34000000008</v>
      </c>
    </row>
    <row r="4" spans="1:14" ht="18.75" customHeight="1" x14ac:dyDescent="0.3">
      <c r="B4" s="4" t="s">
        <v>61</v>
      </c>
      <c r="D4" s="6" t="s">
        <v>69</v>
      </c>
      <c r="E4" s="6" t="s">
        <v>70</v>
      </c>
      <c r="G4" s="6" t="s">
        <v>73</v>
      </c>
      <c r="H4" s="6" t="s">
        <v>20</v>
      </c>
      <c r="I4" s="7" t="s">
        <v>52</v>
      </c>
      <c r="J4" s="9" t="s">
        <v>55</v>
      </c>
      <c r="K4" s="7" t="s">
        <v>23</v>
      </c>
      <c r="L4" s="7" t="s">
        <v>27</v>
      </c>
      <c r="M4" s="7" t="s">
        <v>28</v>
      </c>
    </row>
    <row r="5" spans="1:14" ht="18.75" customHeight="1" x14ac:dyDescent="0.3">
      <c r="D5" s="6" t="s">
        <v>64</v>
      </c>
      <c r="E5" s="6" t="s">
        <v>80</v>
      </c>
      <c r="H5" s="6" t="s">
        <v>30</v>
      </c>
      <c r="K5" s="9" t="s">
        <v>47</v>
      </c>
      <c r="L5" s="7" t="s">
        <v>18</v>
      </c>
      <c r="M5" s="9" t="s">
        <v>49</v>
      </c>
    </row>
    <row r="6" spans="1:14" ht="18.75" customHeight="1" x14ac:dyDescent="0.3">
      <c r="D6" s="6" t="s">
        <v>65</v>
      </c>
      <c r="E6" s="6" t="s">
        <v>71</v>
      </c>
      <c r="H6" s="9" t="s">
        <v>46</v>
      </c>
      <c r="K6" s="9" t="s">
        <v>54</v>
      </c>
      <c r="L6" s="7" t="s">
        <v>29</v>
      </c>
      <c r="M6" s="9" t="s">
        <v>50</v>
      </c>
    </row>
    <row r="7" spans="1:14" ht="18.75" customHeight="1" x14ac:dyDescent="0.3">
      <c r="D7" s="6" t="s">
        <v>67</v>
      </c>
      <c r="H7" s="9" t="s">
        <v>81</v>
      </c>
      <c r="L7" s="7" t="s">
        <v>19</v>
      </c>
    </row>
    <row r="8" spans="1:14" ht="18.75" customHeight="1" x14ac:dyDescent="0.3">
      <c r="D8" s="6" t="s">
        <v>68</v>
      </c>
      <c r="H8" s="9" t="s">
        <v>45</v>
      </c>
      <c r="L8" s="9" t="s">
        <v>48</v>
      </c>
    </row>
    <row r="9" spans="1:14" ht="18.75" customHeight="1" x14ac:dyDescent="0.3">
      <c r="H9" s="9" t="s">
        <v>51</v>
      </c>
      <c r="L9" s="9" t="s">
        <v>53</v>
      </c>
    </row>
    <row r="10" spans="1:14" ht="18.75" customHeight="1" x14ac:dyDescent="0.3">
      <c r="A10" s="2" t="s">
        <v>14</v>
      </c>
      <c r="B10" s="3">
        <v>35916.67</v>
      </c>
      <c r="C10" s="3">
        <v>51266.67</v>
      </c>
      <c r="D10" s="3">
        <v>22916.67</v>
      </c>
      <c r="E10" s="3">
        <v>50416.67</v>
      </c>
      <c r="F10" s="3">
        <v>40416.67</v>
      </c>
      <c r="G10" s="3">
        <v>10416.67</v>
      </c>
      <c r="H10" s="3">
        <v>20416.669999999998</v>
      </c>
      <c r="I10" s="3">
        <v>10416.67</v>
      </c>
      <c r="J10" s="3">
        <v>22416.66</v>
      </c>
      <c r="K10" s="3">
        <v>10416.66</v>
      </c>
      <c r="L10" s="3">
        <v>10416.66</v>
      </c>
      <c r="M10" s="3">
        <v>42153.16</v>
      </c>
      <c r="N10" s="3">
        <f>SUM(B10:M10)</f>
        <v>327586.5</v>
      </c>
    </row>
    <row r="11" spans="1:14" ht="18.75" customHeight="1" x14ac:dyDescent="0.3">
      <c r="A11" s="4" t="s">
        <v>35</v>
      </c>
      <c r="B11" s="5">
        <v>40516.67</v>
      </c>
      <c r="C11" s="5">
        <v>51066.67</v>
      </c>
      <c r="D11" s="5">
        <v>34027.67</v>
      </c>
      <c r="E11" s="5">
        <v>57916.67</v>
      </c>
      <c r="F11" s="5">
        <v>40416.67</v>
      </c>
      <c r="G11" s="5">
        <v>29140.7</v>
      </c>
      <c r="H11" s="5">
        <v>19696.349999999999</v>
      </c>
      <c r="I11" s="3">
        <v>10416.67</v>
      </c>
      <c r="J11" s="3">
        <v>32416.66</v>
      </c>
      <c r="K11" s="3">
        <v>10416.66</v>
      </c>
      <c r="L11" s="3">
        <v>10416.66</v>
      </c>
      <c r="M11" s="3">
        <v>42153.16</v>
      </c>
      <c r="N11" s="3">
        <f>SUM(B11:M11)</f>
        <v>378601.20999999985</v>
      </c>
    </row>
    <row r="12" spans="1:14" ht="18.75" customHeight="1" x14ac:dyDescent="0.3">
      <c r="B12" s="4" t="s">
        <v>78</v>
      </c>
      <c r="C12" s="4" t="s">
        <v>74</v>
      </c>
      <c r="D12" s="4" t="s">
        <v>75</v>
      </c>
      <c r="E12" s="4" t="s">
        <v>41</v>
      </c>
      <c r="F12" s="4" t="s">
        <v>77</v>
      </c>
      <c r="G12" s="4" t="s">
        <v>74</v>
      </c>
      <c r="H12" s="4" t="s">
        <v>74</v>
      </c>
      <c r="I12" s="2" t="s">
        <v>74</v>
      </c>
      <c r="J12" s="2" t="s">
        <v>74</v>
      </c>
      <c r="K12" s="2" t="s">
        <v>74</v>
      </c>
      <c r="L12" s="7" t="s">
        <v>22</v>
      </c>
      <c r="M12" s="7" t="s">
        <v>21</v>
      </c>
    </row>
    <row r="13" spans="1:14" ht="18.75" customHeight="1" x14ac:dyDescent="0.3">
      <c r="B13" s="4" t="s">
        <v>74</v>
      </c>
      <c r="C13" s="4" t="s">
        <v>79</v>
      </c>
      <c r="D13" s="4" t="s">
        <v>74</v>
      </c>
      <c r="E13" s="4" t="s">
        <v>74</v>
      </c>
      <c r="F13" s="4" t="s">
        <v>74</v>
      </c>
      <c r="J13" s="2" t="s">
        <v>25</v>
      </c>
      <c r="M13" s="7" t="s">
        <v>22</v>
      </c>
    </row>
    <row r="14" spans="1:14" ht="18.75" customHeight="1" x14ac:dyDescent="0.3">
      <c r="B14" s="6"/>
      <c r="C14" s="6" t="s">
        <v>76</v>
      </c>
      <c r="J14" s="2" t="s">
        <v>24</v>
      </c>
    </row>
    <row r="15" spans="1:14" ht="18.75" customHeight="1" x14ac:dyDescent="0.3">
      <c r="B15" s="6"/>
      <c r="C15" s="6"/>
    </row>
    <row r="16" spans="1:14" ht="18.75" customHeight="1" x14ac:dyDescent="0.3">
      <c r="B16" s="6"/>
      <c r="C16" s="6"/>
    </row>
    <row r="17" spans="1:14" ht="18.75" customHeight="1" x14ac:dyDescent="0.3">
      <c r="A17" s="2" t="s">
        <v>15</v>
      </c>
      <c r="B17" s="3">
        <v>-1105.29</v>
      </c>
      <c r="C17" s="3">
        <v>10019.75</v>
      </c>
      <c r="D17" s="3">
        <v>51904.79</v>
      </c>
      <c r="E17" s="3">
        <f>26000+46618</f>
        <v>72618</v>
      </c>
      <c r="F17" s="3">
        <f>-13450+661.03</f>
        <v>-12788.97</v>
      </c>
      <c r="G17" s="3">
        <f>-7680+5616.72</f>
        <v>-2063.2799999999997</v>
      </c>
      <c r="H17" s="3">
        <f>-3320-43577.84</f>
        <v>-46897.84</v>
      </c>
      <c r="I17" s="3">
        <f>-1680-4935.91</f>
        <v>-6615.91</v>
      </c>
      <c r="J17" s="3">
        <v>19500</v>
      </c>
      <c r="K17" s="3">
        <f>-3845+1406</f>
        <v>-2439</v>
      </c>
      <c r="L17" s="3">
        <f>3500+1406</f>
        <v>4906</v>
      </c>
      <c r="M17" s="3">
        <f>3500+1406</f>
        <v>4906</v>
      </c>
      <c r="N17" s="3">
        <f>SUM(B17:M17)</f>
        <v>91944.25</v>
      </c>
    </row>
    <row r="18" spans="1:14" ht="18.75" customHeight="1" x14ac:dyDescent="0.3">
      <c r="A18" s="4" t="s">
        <v>36</v>
      </c>
      <c r="B18" s="5">
        <v>17165.599999999999</v>
      </c>
      <c r="C18" s="5">
        <f>56532.78+5000</f>
        <v>61532.78</v>
      </c>
      <c r="D18" s="5">
        <f>-4433.79-425</f>
        <v>-4858.79</v>
      </c>
      <c r="E18" s="5">
        <f>14700.56+2365.25</f>
        <v>17065.809999999998</v>
      </c>
      <c r="F18" s="5">
        <f>5332.12-456.38</f>
        <v>4875.74</v>
      </c>
      <c r="G18" s="5">
        <f>-4929.38+217.86</f>
        <v>-4711.5200000000004</v>
      </c>
      <c r="H18" s="5">
        <f>-12083.85-16948.29</f>
        <v>-29032.14</v>
      </c>
      <c r="I18" s="3">
        <f>-1680+20064.09</f>
        <v>18384.09</v>
      </c>
      <c r="J18" s="3">
        <v>18000</v>
      </c>
      <c r="K18" s="3">
        <f>-3845+1406</f>
        <v>-2439</v>
      </c>
      <c r="L18" s="3">
        <f>3500+1406</f>
        <v>4906</v>
      </c>
      <c r="M18" s="3">
        <f>13500+1406</f>
        <v>14906</v>
      </c>
      <c r="N18" s="3">
        <f>SUM(B18:M18)</f>
        <v>115794.57</v>
      </c>
    </row>
    <row r="19" spans="1:14" ht="18.75" customHeight="1" x14ac:dyDescent="0.3">
      <c r="A19" s="7" t="s">
        <v>31</v>
      </c>
      <c r="I19" s="7" t="s">
        <v>32</v>
      </c>
      <c r="M19" s="2" t="s">
        <v>38</v>
      </c>
    </row>
    <row r="20" spans="1:14" ht="18.75" customHeight="1" x14ac:dyDescent="0.3">
      <c r="C20" s="6" t="s">
        <v>62</v>
      </c>
      <c r="D20" s="4" t="s">
        <v>66</v>
      </c>
      <c r="E20" s="6" t="s">
        <v>72</v>
      </c>
    </row>
    <row r="21" spans="1:14" ht="18.75" customHeight="1" x14ac:dyDescent="0.3">
      <c r="C21" s="6" t="s">
        <v>63</v>
      </c>
      <c r="F21" s="7"/>
    </row>
    <row r="22" spans="1:14" ht="18.75" customHeight="1" x14ac:dyDescent="0.3">
      <c r="C22" s="6"/>
      <c r="F22" s="7"/>
    </row>
    <row r="23" spans="1:14" ht="18.75" customHeight="1" x14ac:dyDescent="0.3">
      <c r="A23" s="2" t="s">
        <v>43</v>
      </c>
      <c r="B23" s="3">
        <v>34636.06</v>
      </c>
      <c r="C23" s="3">
        <v>35257.480000000003</v>
      </c>
      <c r="D23" s="3">
        <v>35257.480000000003</v>
      </c>
      <c r="E23" s="3">
        <v>35257.480000000003</v>
      </c>
      <c r="F23" s="3">
        <v>18749.66</v>
      </c>
      <c r="G23" s="3">
        <v>18749.66</v>
      </c>
      <c r="H23" s="3">
        <v>18749.66</v>
      </c>
      <c r="I23" s="3">
        <v>18749.66</v>
      </c>
      <c r="J23" s="3">
        <v>18749.66</v>
      </c>
      <c r="K23" s="3">
        <v>18749.650000000001</v>
      </c>
      <c r="L23" s="3">
        <v>17506.810000000001</v>
      </c>
      <c r="M23" s="3">
        <v>81468.23</v>
      </c>
      <c r="N23" s="3">
        <v>351881.48</v>
      </c>
    </row>
    <row r="24" spans="1:14" ht="18.75" customHeight="1" x14ac:dyDescent="0.3">
      <c r="A24" s="2" t="s">
        <v>44</v>
      </c>
      <c r="B24" s="5">
        <v>26721.06</v>
      </c>
      <c r="C24" s="5">
        <v>27342.48</v>
      </c>
      <c r="D24" s="5">
        <v>27342.48</v>
      </c>
      <c r="E24" s="5">
        <v>30881.52</v>
      </c>
      <c r="F24" s="5">
        <v>53064.08</v>
      </c>
      <c r="G24" s="5">
        <v>29949.89</v>
      </c>
      <c r="H24" s="5">
        <v>29389.29</v>
      </c>
      <c r="I24" s="3">
        <v>16852.599999999999</v>
      </c>
      <c r="J24" s="3">
        <v>16952.599999999999</v>
      </c>
      <c r="K24" s="3">
        <v>17352.599999999999</v>
      </c>
      <c r="L24" s="3">
        <v>16078.02</v>
      </c>
      <c r="M24" s="3">
        <v>79418.02</v>
      </c>
      <c r="N24" s="3">
        <f>SUM(B24:M24)</f>
        <v>371344.64000000007</v>
      </c>
    </row>
    <row r="25" spans="1:14" ht="18.75" customHeight="1" x14ac:dyDescent="0.3">
      <c r="F25" s="7"/>
    </row>
    <row r="27" spans="1:14" ht="18.75" customHeight="1" x14ac:dyDescent="0.3">
      <c r="A27" s="2" t="s">
        <v>16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375000</v>
      </c>
      <c r="M27" s="3">
        <v>0</v>
      </c>
      <c r="N27" s="3">
        <f>SUM(B27:M27)</f>
        <v>375000</v>
      </c>
    </row>
    <row r="28" spans="1:14" ht="18.75" customHeight="1" x14ac:dyDescent="0.3">
      <c r="A28" s="4" t="s">
        <v>17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3">
        <v>0</v>
      </c>
      <c r="I28" s="3">
        <v>0</v>
      </c>
      <c r="J28" s="3">
        <v>0</v>
      </c>
      <c r="K28" s="3"/>
      <c r="L28" s="3">
        <v>375000</v>
      </c>
      <c r="M28" s="3">
        <v>0</v>
      </c>
      <c r="N28" s="3">
        <f>SUM(B28:M28)</f>
        <v>375000</v>
      </c>
    </row>
    <row r="31" spans="1:14" ht="18.75" customHeight="1" x14ac:dyDescent="0.3">
      <c r="A31" s="2" t="s">
        <v>26</v>
      </c>
      <c r="B31" s="3">
        <f t="shared" ref="B31:G31" si="0">B27+B17+B10+B2+B23</f>
        <v>91097.44</v>
      </c>
      <c r="C31" s="3">
        <f t="shared" si="0"/>
        <v>151793.9</v>
      </c>
      <c r="D31" s="3">
        <f t="shared" si="0"/>
        <v>190328.94</v>
      </c>
      <c r="E31" s="3">
        <f t="shared" si="0"/>
        <v>299292.14999999997</v>
      </c>
      <c r="F31" s="3">
        <f t="shared" si="0"/>
        <v>106427.36</v>
      </c>
      <c r="G31" s="3">
        <f t="shared" si="0"/>
        <v>35603.050000000003</v>
      </c>
      <c r="H31" s="3">
        <f t="shared" ref="H31:L31" si="1">H27+H17+H10+H2+H23</f>
        <v>123518.49</v>
      </c>
      <c r="I31" s="3">
        <f t="shared" si="1"/>
        <v>99300.42</v>
      </c>
      <c r="J31" s="3">
        <f t="shared" si="1"/>
        <v>103566.32</v>
      </c>
      <c r="K31" s="3">
        <f t="shared" si="1"/>
        <v>156627.31</v>
      </c>
      <c r="L31" s="3">
        <f t="shared" si="1"/>
        <v>511429.47</v>
      </c>
      <c r="M31" s="3">
        <f>M27+M17+M10+M2+M23</f>
        <v>380977.39</v>
      </c>
      <c r="N31" s="3">
        <f>N27+N17+N10+N2+N23</f>
        <v>2249962.23</v>
      </c>
    </row>
    <row r="32" spans="1:14" ht="18.75" customHeight="1" x14ac:dyDescent="0.3">
      <c r="A32" s="2" t="s">
        <v>37</v>
      </c>
      <c r="B32" s="5">
        <f>B28+B18+B11+B3+B24</f>
        <v>129296.09999999999</v>
      </c>
      <c r="C32" s="5">
        <f>C28+C18+C11+C3+C24</f>
        <v>206015.67</v>
      </c>
      <c r="D32" s="5">
        <f>D28+D18+D11+D3+D24</f>
        <v>134974.12</v>
      </c>
      <c r="E32" s="5">
        <f>E28+E18+E11+E3+E24</f>
        <v>261090.23999999996</v>
      </c>
      <c r="F32" s="5">
        <f>F28+F18+F11+F3+F24</f>
        <v>108217.26999999999</v>
      </c>
      <c r="G32" s="5">
        <f t="shared" ref="G32:M32" si="2">G28+G18+G11+G3+G24</f>
        <v>85506.61</v>
      </c>
      <c r="H32" s="5">
        <f t="shared" si="2"/>
        <v>109179.01000000001</v>
      </c>
      <c r="I32" s="3">
        <f t="shared" si="2"/>
        <v>121903.36000000002</v>
      </c>
      <c r="J32" s="3">
        <f t="shared" si="2"/>
        <v>100269.26000000001</v>
      </c>
      <c r="K32" s="3">
        <f t="shared" si="2"/>
        <v>135230.26</v>
      </c>
      <c r="L32" s="3">
        <f t="shared" si="2"/>
        <v>489500.68</v>
      </c>
      <c r="M32" s="3">
        <f t="shared" si="2"/>
        <v>253927.18</v>
      </c>
      <c r="N32" s="3">
        <f>SUM(B32:M32)</f>
        <v>2135109.7600000002</v>
      </c>
    </row>
    <row r="34" spans="1:14" ht="18.75" customHeight="1" x14ac:dyDescent="0.3">
      <c r="A34" s="2" t="s">
        <v>33</v>
      </c>
      <c r="B34" s="3">
        <f>B32-B31</f>
        <v>38198.659999999989</v>
      </c>
      <c r="C34" s="3">
        <f>C32-C31+B34</f>
        <v>92420.430000000008</v>
      </c>
      <c r="D34" s="3">
        <f>D32-D31+C34</f>
        <v>37065.61</v>
      </c>
      <c r="E34" s="3">
        <f>E32-E31+D34</f>
        <v>-1136.3000000000029</v>
      </c>
      <c r="F34" s="3">
        <f>F32-F31+E34</f>
        <v>653.60999999998603</v>
      </c>
      <c r="G34" s="3">
        <f>G32-G31+F34</f>
        <v>50557.169999999984</v>
      </c>
      <c r="H34" s="3">
        <f t="shared" ref="H34:M34" si="3">H32-H31+G34</f>
        <v>36217.689999999988</v>
      </c>
      <c r="I34" s="3">
        <f t="shared" si="3"/>
        <v>58820.630000000005</v>
      </c>
      <c r="J34" s="3">
        <f t="shared" si="3"/>
        <v>55523.570000000007</v>
      </c>
      <c r="K34" s="3">
        <f t="shared" si="3"/>
        <v>34126.520000000019</v>
      </c>
      <c r="L34" s="3">
        <f t="shared" si="3"/>
        <v>12197.73000000004</v>
      </c>
      <c r="M34" s="3">
        <f t="shared" si="3"/>
        <v>-114852.47999999998</v>
      </c>
      <c r="N34" s="3">
        <f>N32-N31</f>
        <v>-114852.46999999974</v>
      </c>
    </row>
    <row r="36" spans="1:14" ht="18.75" customHeight="1" x14ac:dyDescent="0.3">
      <c r="A36" s="2" t="s">
        <v>39</v>
      </c>
      <c r="N36" s="3">
        <v>2056428.45</v>
      </c>
    </row>
  </sheetData>
  <printOptions gridLines="1"/>
  <pageMargins left="0.2" right="0.2" top="0.75" bottom="0.75" header="0.3" footer="0.3"/>
  <pageSetup paperSize="5" scale="63" fitToHeight="0" orientation="landscape" verticalDpi="1200" r:id="rId1"/>
  <headerFooter>
    <oddHeader>&amp;C&amp;F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75B19-84D3-470A-B0DC-5F4FB4DE4753}">
  <sheetPr>
    <pageSetUpPr fitToPage="1"/>
  </sheetPr>
  <dimension ref="A1:N36"/>
  <sheetViews>
    <sheetView topLeftCell="D1" workbookViewId="0">
      <pane ySplit="1" topLeftCell="A2" activePane="bottomLeft" state="frozen"/>
      <selection pane="bottomLeft" activeCell="J8" sqref="J8"/>
    </sheetView>
  </sheetViews>
  <sheetFormatPr defaultColWidth="9.1796875" defaultRowHeight="18.75" customHeight="1" x14ac:dyDescent="0.3"/>
  <cols>
    <col min="1" max="1" width="29" style="2" customWidth="1"/>
    <col min="2" max="2" width="17.81640625" style="2" customWidth="1"/>
    <col min="3" max="3" width="20.81640625" style="2" bestFit="1" customWidth="1"/>
    <col min="4" max="4" width="19.453125" style="2" bestFit="1" customWidth="1"/>
    <col min="5" max="5" width="21.54296875" style="2" bestFit="1" customWidth="1"/>
    <col min="6" max="6" width="24.7265625" style="2" bestFit="1" customWidth="1"/>
    <col min="7" max="7" width="17.81640625" style="2" customWidth="1"/>
    <col min="8" max="8" width="25.7265625" style="2" customWidth="1"/>
    <col min="9" max="9" width="17.81640625" style="2" customWidth="1"/>
    <col min="10" max="10" width="22.453125" style="2" bestFit="1" customWidth="1"/>
    <col min="11" max="11" width="25.1796875" style="2" bestFit="1" customWidth="1"/>
    <col min="12" max="12" width="20.26953125" style="2" bestFit="1" customWidth="1"/>
    <col min="13" max="14" width="17.81640625" style="2" customWidth="1"/>
    <col min="15" max="16384" width="9.1796875" style="2"/>
  </cols>
  <sheetData>
    <row r="1" spans="1:14" ht="18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8.75" customHeight="1" x14ac:dyDescent="0.3">
      <c r="A2" s="2" t="s">
        <v>13</v>
      </c>
      <c r="B2" s="3">
        <v>21650</v>
      </c>
      <c r="C2" s="3">
        <v>55250</v>
      </c>
      <c r="D2" s="3">
        <v>80250</v>
      </c>
      <c r="E2" s="3">
        <v>141000</v>
      </c>
      <c r="F2" s="3">
        <v>60050</v>
      </c>
      <c r="G2" s="3">
        <v>8500</v>
      </c>
      <c r="H2" s="3">
        <v>131250</v>
      </c>
      <c r="I2" s="3">
        <v>76750</v>
      </c>
      <c r="J2" s="3">
        <v>42900</v>
      </c>
      <c r="K2" s="3">
        <v>129900</v>
      </c>
      <c r="L2" s="3">
        <v>103600</v>
      </c>
      <c r="M2" s="3">
        <v>252450</v>
      </c>
      <c r="N2" s="3">
        <f>SUM(B2:M2)</f>
        <v>1103550</v>
      </c>
    </row>
    <row r="3" spans="1:14" ht="18.75" customHeight="1" x14ac:dyDescent="0.3">
      <c r="A3" s="4" t="s">
        <v>34</v>
      </c>
      <c r="B3" s="5">
        <v>44892.77</v>
      </c>
      <c r="C3" s="5">
        <v>66073.740000000005</v>
      </c>
      <c r="D3" s="5">
        <v>78462.759999999995</v>
      </c>
      <c r="E3" s="5">
        <v>155226.23999999999</v>
      </c>
      <c r="F3" s="5">
        <v>9860.7800000000007</v>
      </c>
      <c r="G3" s="5">
        <v>31127.54</v>
      </c>
      <c r="H3" s="5">
        <v>89125.51</v>
      </c>
      <c r="I3" s="3">
        <v>76250</v>
      </c>
      <c r="J3" s="3">
        <v>32900</v>
      </c>
      <c r="K3" s="3">
        <f>109900+-50000+20000+10000</f>
        <v>89900</v>
      </c>
      <c r="L3" s="3">
        <v>83100</v>
      </c>
      <c r="M3" s="3">
        <f>117450+194000-75000</f>
        <v>236450</v>
      </c>
      <c r="N3" s="3">
        <f>SUM(B3:M3)</f>
        <v>993369.34000000008</v>
      </c>
    </row>
    <row r="4" spans="1:14" ht="18.75" customHeight="1" x14ac:dyDescent="0.3">
      <c r="B4" s="4" t="s">
        <v>61</v>
      </c>
      <c r="D4" s="4" t="s">
        <v>69</v>
      </c>
      <c r="E4" s="6" t="s">
        <v>70</v>
      </c>
      <c r="G4" s="4" t="s">
        <v>73</v>
      </c>
      <c r="H4" s="6" t="s">
        <v>20</v>
      </c>
      <c r="I4" s="7" t="s">
        <v>52</v>
      </c>
      <c r="J4" s="9" t="s">
        <v>55</v>
      </c>
      <c r="K4" s="8" t="s">
        <v>56</v>
      </c>
      <c r="L4" s="7" t="s">
        <v>27</v>
      </c>
      <c r="M4" s="7" t="s">
        <v>58</v>
      </c>
    </row>
    <row r="5" spans="1:14" ht="18.75" customHeight="1" x14ac:dyDescent="0.3">
      <c r="D5" s="6" t="s">
        <v>64</v>
      </c>
      <c r="E5" s="4" t="s">
        <v>80</v>
      </c>
      <c r="H5" s="6" t="s">
        <v>30</v>
      </c>
      <c r="K5" s="8" t="s">
        <v>60</v>
      </c>
      <c r="L5" s="7" t="s">
        <v>18</v>
      </c>
      <c r="M5" s="8" t="s">
        <v>57</v>
      </c>
    </row>
    <row r="6" spans="1:14" ht="18.75" customHeight="1" x14ac:dyDescent="0.3">
      <c r="D6" s="4" t="s">
        <v>65</v>
      </c>
      <c r="E6" s="6" t="s">
        <v>71</v>
      </c>
      <c r="H6" s="9" t="s">
        <v>46</v>
      </c>
      <c r="K6" s="8" t="s">
        <v>59</v>
      </c>
      <c r="L6" s="7" t="s">
        <v>29</v>
      </c>
      <c r="M6" s="9" t="s">
        <v>49</v>
      </c>
    </row>
    <row r="7" spans="1:14" ht="18.75" customHeight="1" x14ac:dyDescent="0.3">
      <c r="D7" s="4" t="s">
        <v>67</v>
      </c>
      <c r="H7" s="9" t="s">
        <v>81</v>
      </c>
      <c r="K7" s="9" t="s">
        <v>47</v>
      </c>
      <c r="L7" s="7" t="s">
        <v>19</v>
      </c>
      <c r="M7" s="9" t="s">
        <v>50</v>
      </c>
    </row>
    <row r="8" spans="1:14" ht="18.75" customHeight="1" x14ac:dyDescent="0.3">
      <c r="D8" s="4" t="s">
        <v>68</v>
      </c>
      <c r="H8" s="9" t="s">
        <v>45</v>
      </c>
      <c r="K8" s="9" t="s">
        <v>54</v>
      </c>
      <c r="L8" s="9" t="s">
        <v>48</v>
      </c>
    </row>
    <row r="9" spans="1:14" ht="18.75" customHeight="1" x14ac:dyDescent="0.3">
      <c r="H9" s="9" t="s">
        <v>51</v>
      </c>
      <c r="L9" s="9" t="s">
        <v>53</v>
      </c>
    </row>
    <row r="10" spans="1:14" ht="18.75" customHeight="1" x14ac:dyDescent="0.3">
      <c r="A10" s="2" t="s">
        <v>14</v>
      </c>
      <c r="B10" s="3">
        <v>35916.67</v>
      </c>
      <c r="C10" s="3">
        <v>51266.67</v>
      </c>
      <c r="D10" s="3">
        <v>22916.67</v>
      </c>
      <c r="E10" s="3">
        <v>50416.67</v>
      </c>
      <c r="F10" s="3">
        <v>40416.67</v>
      </c>
      <c r="G10" s="3">
        <v>10416.67</v>
      </c>
      <c r="H10" s="3">
        <v>20416.669999999998</v>
      </c>
      <c r="I10" s="3">
        <v>10416.67</v>
      </c>
      <c r="J10" s="3">
        <v>22416.66</v>
      </c>
      <c r="K10" s="3">
        <v>10416.66</v>
      </c>
      <c r="L10" s="3">
        <v>10416.66</v>
      </c>
      <c r="M10" s="3">
        <v>42153.16</v>
      </c>
      <c r="N10" s="3">
        <f>SUM(B10:M10)</f>
        <v>327586.5</v>
      </c>
    </row>
    <row r="11" spans="1:14" ht="18.75" customHeight="1" x14ac:dyDescent="0.3">
      <c r="A11" s="4" t="s">
        <v>35</v>
      </c>
      <c r="B11" s="5">
        <v>40516.67</v>
      </c>
      <c r="C11" s="5">
        <v>51066.67</v>
      </c>
      <c r="D11" s="5">
        <v>34027.67</v>
      </c>
      <c r="E11" s="5">
        <v>57916.67</v>
      </c>
      <c r="F11" s="5">
        <v>40416.67</v>
      </c>
      <c r="G11" s="5">
        <v>29140.7</v>
      </c>
      <c r="H11" s="5">
        <v>19696.349999999999</v>
      </c>
      <c r="I11" s="3">
        <v>10416.67</v>
      </c>
      <c r="J11" s="3">
        <v>32416.66</v>
      </c>
      <c r="K11" s="3">
        <v>10416.66</v>
      </c>
      <c r="L11" s="3">
        <v>10416.66</v>
      </c>
      <c r="M11" s="3">
        <v>42153.16</v>
      </c>
      <c r="N11" s="3">
        <f>SUM(B11:M11)</f>
        <v>378601.20999999985</v>
      </c>
    </row>
    <row r="12" spans="1:14" ht="18.75" customHeight="1" x14ac:dyDescent="0.3">
      <c r="B12" s="4" t="s">
        <v>78</v>
      </c>
      <c r="C12" s="4" t="s">
        <v>74</v>
      </c>
      <c r="D12" s="4" t="s">
        <v>75</v>
      </c>
      <c r="E12" s="4" t="s">
        <v>41</v>
      </c>
      <c r="F12" s="4" t="s">
        <v>77</v>
      </c>
      <c r="G12" s="4" t="s">
        <v>74</v>
      </c>
      <c r="H12" s="4" t="s">
        <v>74</v>
      </c>
      <c r="I12" s="2" t="s">
        <v>74</v>
      </c>
      <c r="J12" s="2" t="s">
        <v>74</v>
      </c>
      <c r="K12" s="2" t="s">
        <v>74</v>
      </c>
      <c r="L12" s="7" t="s">
        <v>22</v>
      </c>
      <c r="M12" s="7" t="s">
        <v>21</v>
      </c>
    </row>
    <row r="13" spans="1:14" ht="18.75" customHeight="1" x14ac:dyDescent="0.3">
      <c r="B13" s="4" t="s">
        <v>74</v>
      </c>
      <c r="C13" s="4" t="s">
        <v>79</v>
      </c>
      <c r="D13" s="4" t="s">
        <v>74</v>
      </c>
      <c r="E13" s="4" t="s">
        <v>74</v>
      </c>
      <c r="F13" s="4" t="s">
        <v>74</v>
      </c>
      <c r="J13" s="2" t="s">
        <v>25</v>
      </c>
      <c r="M13" s="7" t="s">
        <v>22</v>
      </c>
    </row>
    <row r="14" spans="1:14" ht="18.75" customHeight="1" x14ac:dyDescent="0.3">
      <c r="B14" s="6"/>
      <c r="C14" s="6" t="s">
        <v>76</v>
      </c>
      <c r="J14" s="2" t="s">
        <v>24</v>
      </c>
    </row>
    <row r="15" spans="1:14" ht="18.75" customHeight="1" x14ac:dyDescent="0.3">
      <c r="B15" s="6"/>
      <c r="C15" s="6"/>
    </row>
    <row r="16" spans="1:14" ht="18.75" customHeight="1" x14ac:dyDescent="0.3">
      <c r="B16" s="6"/>
      <c r="C16" s="6"/>
    </row>
    <row r="17" spans="1:14" ht="18.75" customHeight="1" x14ac:dyDescent="0.3">
      <c r="A17" s="2" t="s">
        <v>15</v>
      </c>
      <c r="B17" s="3">
        <v>-1105.29</v>
      </c>
      <c r="C17" s="3">
        <v>10019.75</v>
      </c>
      <c r="D17" s="3">
        <v>51904.79</v>
      </c>
      <c r="E17" s="3">
        <f>26000+46618</f>
        <v>72618</v>
      </c>
      <c r="F17" s="3">
        <f>-13450+661.03</f>
        <v>-12788.97</v>
      </c>
      <c r="G17" s="3">
        <f>-7680+5616.72</f>
        <v>-2063.2799999999997</v>
      </c>
      <c r="H17" s="3">
        <f>-3320-43577.84</f>
        <v>-46897.84</v>
      </c>
      <c r="I17" s="3">
        <f>-1680-4935.91</f>
        <v>-6615.91</v>
      </c>
      <c r="J17" s="3">
        <v>19500</v>
      </c>
      <c r="K17" s="3">
        <f>-3845+1406</f>
        <v>-2439</v>
      </c>
      <c r="L17" s="3">
        <f>3500+1406</f>
        <v>4906</v>
      </c>
      <c r="M17" s="3">
        <f>3500+1406</f>
        <v>4906</v>
      </c>
      <c r="N17" s="3">
        <f>SUM(B17:M17)</f>
        <v>91944.25</v>
      </c>
    </row>
    <row r="18" spans="1:14" ht="18.75" customHeight="1" x14ac:dyDescent="0.3">
      <c r="A18" s="4" t="s">
        <v>36</v>
      </c>
      <c r="B18" s="5">
        <v>17165.599999999999</v>
      </c>
      <c r="C18" s="5">
        <f>56532.78+5000</f>
        <v>61532.78</v>
      </c>
      <c r="D18" s="5">
        <f>-4433.79-425</f>
        <v>-4858.79</v>
      </c>
      <c r="E18" s="5">
        <f>14700.56+2365.25</f>
        <v>17065.809999999998</v>
      </c>
      <c r="F18" s="5">
        <f>5332.12-456.38</f>
        <v>4875.74</v>
      </c>
      <c r="G18" s="5">
        <f>-4929.38+217.86</f>
        <v>-4711.5200000000004</v>
      </c>
      <c r="H18" s="5">
        <f>-12083.85-16948.29</f>
        <v>-29032.14</v>
      </c>
      <c r="I18" s="3">
        <f>-1680+20064.09</f>
        <v>18384.09</v>
      </c>
      <c r="J18" s="3">
        <v>18000</v>
      </c>
      <c r="K18" s="3">
        <f>-3845+1406</f>
        <v>-2439</v>
      </c>
      <c r="L18" s="3">
        <f>3500+1406</f>
        <v>4906</v>
      </c>
      <c r="M18" s="3">
        <f>13500+1406</f>
        <v>14906</v>
      </c>
      <c r="N18" s="3">
        <f>SUM(B18:M18)</f>
        <v>115794.57</v>
      </c>
    </row>
    <row r="19" spans="1:14" ht="18.75" customHeight="1" x14ac:dyDescent="0.3">
      <c r="A19" s="7" t="s">
        <v>31</v>
      </c>
      <c r="I19" s="7" t="s">
        <v>32</v>
      </c>
      <c r="M19" s="2" t="s">
        <v>38</v>
      </c>
    </row>
    <row r="20" spans="1:14" ht="18.75" customHeight="1" x14ac:dyDescent="0.3">
      <c r="C20" s="6" t="s">
        <v>62</v>
      </c>
      <c r="D20" s="4" t="s">
        <v>66</v>
      </c>
      <c r="E20" s="6" t="s">
        <v>72</v>
      </c>
    </row>
    <row r="21" spans="1:14" ht="18.75" customHeight="1" x14ac:dyDescent="0.3">
      <c r="C21" s="6" t="s">
        <v>63</v>
      </c>
      <c r="F21" s="7"/>
    </row>
    <row r="22" spans="1:14" ht="18.75" customHeight="1" x14ac:dyDescent="0.3">
      <c r="C22" s="6"/>
      <c r="F22" s="7"/>
    </row>
    <row r="23" spans="1:14" ht="18.75" customHeight="1" x14ac:dyDescent="0.3">
      <c r="A23" s="2" t="s">
        <v>43</v>
      </c>
      <c r="B23" s="3">
        <v>34636.06</v>
      </c>
      <c r="C23" s="3">
        <v>35257.480000000003</v>
      </c>
      <c r="D23" s="3">
        <v>35257.480000000003</v>
      </c>
      <c r="E23" s="3">
        <v>35257.480000000003</v>
      </c>
      <c r="F23" s="3">
        <v>18749.66</v>
      </c>
      <c r="G23" s="3">
        <v>18749.66</v>
      </c>
      <c r="H23" s="3">
        <v>18749.66</v>
      </c>
      <c r="I23" s="3">
        <v>18749.66</v>
      </c>
      <c r="J23" s="3">
        <v>18749.66</v>
      </c>
      <c r="K23" s="3">
        <v>18749.650000000001</v>
      </c>
      <c r="L23" s="3">
        <v>17506.810000000001</v>
      </c>
      <c r="M23" s="3">
        <v>81468.23</v>
      </c>
      <c r="N23" s="3">
        <v>351881.48</v>
      </c>
    </row>
    <row r="24" spans="1:14" ht="18.75" customHeight="1" x14ac:dyDescent="0.3">
      <c r="A24" s="2" t="s">
        <v>44</v>
      </c>
      <c r="B24" s="5">
        <v>26721.06</v>
      </c>
      <c r="C24" s="5">
        <v>27342.48</v>
      </c>
      <c r="D24" s="5">
        <v>27342.48</v>
      </c>
      <c r="E24" s="5">
        <v>30881.52</v>
      </c>
      <c r="F24" s="5">
        <v>53064.08</v>
      </c>
      <c r="G24" s="5">
        <v>29949.89</v>
      </c>
      <c r="H24" s="5">
        <v>29389.29</v>
      </c>
      <c r="I24" s="3">
        <v>16852.599999999999</v>
      </c>
      <c r="J24" s="3">
        <v>16952.599999999999</v>
      </c>
      <c r="K24" s="3">
        <v>17352.599999999999</v>
      </c>
      <c r="L24" s="3">
        <v>16078.02</v>
      </c>
      <c r="M24" s="3">
        <v>79418.02</v>
      </c>
      <c r="N24" s="3">
        <f>SUM(B24:M24)</f>
        <v>371344.64000000007</v>
      </c>
    </row>
    <row r="25" spans="1:14" ht="18.75" customHeight="1" x14ac:dyDescent="0.3">
      <c r="F25" s="7"/>
    </row>
    <row r="27" spans="1:14" ht="18.75" customHeight="1" x14ac:dyDescent="0.3">
      <c r="A27" s="2" t="s">
        <v>16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375000</v>
      </c>
      <c r="M27" s="3">
        <v>0</v>
      </c>
      <c r="N27" s="3">
        <f>SUM(B27:M27)</f>
        <v>375000</v>
      </c>
    </row>
    <row r="28" spans="1:14" ht="18.75" customHeight="1" x14ac:dyDescent="0.3">
      <c r="A28" s="4" t="s">
        <v>17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3">
        <v>0</v>
      </c>
      <c r="I28" s="3">
        <v>0</v>
      </c>
      <c r="J28" s="3">
        <v>0</v>
      </c>
      <c r="K28" s="3"/>
      <c r="L28" s="3">
        <v>375000</v>
      </c>
      <c r="M28" s="3">
        <v>0</v>
      </c>
      <c r="N28" s="3">
        <f>SUM(B28:M28)</f>
        <v>375000</v>
      </c>
    </row>
    <row r="31" spans="1:14" ht="18.75" customHeight="1" x14ac:dyDescent="0.3">
      <c r="A31" s="2" t="s">
        <v>26</v>
      </c>
      <c r="B31" s="3">
        <f t="shared" ref="B31:G32" si="0">B27+B17+B10+B2+B23</f>
        <v>91097.44</v>
      </c>
      <c r="C31" s="3">
        <f t="shared" si="0"/>
        <v>151793.9</v>
      </c>
      <c r="D31" s="3">
        <f t="shared" si="0"/>
        <v>190328.94</v>
      </c>
      <c r="E31" s="3">
        <f t="shared" si="0"/>
        <v>299292.14999999997</v>
      </c>
      <c r="F31" s="3">
        <f t="shared" si="0"/>
        <v>106427.36</v>
      </c>
      <c r="G31" s="3">
        <f t="shared" si="0"/>
        <v>35603.050000000003</v>
      </c>
      <c r="H31" s="3">
        <f t="shared" ref="H31:L31" si="1">H27+H17+H10+H2+H23</f>
        <v>123518.49</v>
      </c>
      <c r="I31" s="3">
        <f t="shared" si="1"/>
        <v>99300.42</v>
      </c>
      <c r="J31" s="3">
        <f t="shared" si="1"/>
        <v>103566.32</v>
      </c>
      <c r="K31" s="3">
        <f t="shared" si="1"/>
        <v>156627.31</v>
      </c>
      <c r="L31" s="3">
        <f t="shared" si="1"/>
        <v>511429.47</v>
      </c>
      <c r="M31" s="3">
        <f>M27+M17+M10+M2+M23</f>
        <v>380977.39</v>
      </c>
      <c r="N31" s="3">
        <f>N27+N17+N10+N2+N23</f>
        <v>2249962.23</v>
      </c>
    </row>
    <row r="32" spans="1:14" ht="18.75" customHeight="1" x14ac:dyDescent="0.3">
      <c r="A32" s="2" t="s">
        <v>37</v>
      </c>
      <c r="B32" s="5">
        <f t="shared" si="0"/>
        <v>129296.09999999999</v>
      </c>
      <c r="C32" s="5">
        <f t="shared" si="0"/>
        <v>206015.67</v>
      </c>
      <c r="D32" s="5">
        <f t="shared" si="0"/>
        <v>134974.12</v>
      </c>
      <c r="E32" s="5">
        <f t="shared" si="0"/>
        <v>261090.23999999996</v>
      </c>
      <c r="F32" s="5">
        <f t="shared" si="0"/>
        <v>108217.26999999999</v>
      </c>
      <c r="G32" s="5">
        <f t="shared" si="0"/>
        <v>85506.61</v>
      </c>
      <c r="H32" s="5">
        <f t="shared" ref="H32:M32" si="2">H28+H18+H11+H3+H24</f>
        <v>109179.01000000001</v>
      </c>
      <c r="I32" s="3">
        <f t="shared" si="2"/>
        <v>121903.36000000002</v>
      </c>
      <c r="J32" s="3">
        <f t="shared" si="2"/>
        <v>100269.26000000001</v>
      </c>
      <c r="K32" s="3">
        <f t="shared" si="2"/>
        <v>115230.26000000001</v>
      </c>
      <c r="L32" s="3">
        <f t="shared" si="2"/>
        <v>489500.68</v>
      </c>
      <c r="M32" s="3">
        <f t="shared" si="2"/>
        <v>372927.18000000005</v>
      </c>
      <c r="N32" s="3">
        <f>SUM(B32:M32)</f>
        <v>2234109.7600000002</v>
      </c>
    </row>
    <row r="34" spans="1:14" ht="18.75" customHeight="1" x14ac:dyDescent="0.3">
      <c r="A34" s="2" t="s">
        <v>33</v>
      </c>
      <c r="B34" s="3">
        <f>B32-B31</f>
        <v>38198.659999999989</v>
      </c>
      <c r="C34" s="3">
        <f>C32-C31+B34</f>
        <v>92420.430000000008</v>
      </c>
      <c r="D34" s="3">
        <f>D32-D31+C34</f>
        <v>37065.61</v>
      </c>
      <c r="E34" s="3">
        <f>E32-E31+D34</f>
        <v>-1136.3000000000029</v>
      </c>
      <c r="F34" s="3">
        <f>F32-F31+E34</f>
        <v>653.60999999998603</v>
      </c>
      <c r="G34" s="3">
        <f>G32-G31+F34</f>
        <v>50557.169999999984</v>
      </c>
      <c r="H34" s="3">
        <f t="shared" ref="H34:M34" si="3">H32-H31+G34</f>
        <v>36217.689999999988</v>
      </c>
      <c r="I34" s="3">
        <f t="shared" si="3"/>
        <v>58820.630000000005</v>
      </c>
      <c r="J34" s="3">
        <f t="shared" si="3"/>
        <v>55523.570000000007</v>
      </c>
      <c r="K34" s="3">
        <f t="shared" si="3"/>
        <v>14126.520000000019</v>
      </c>
      <c r="L34" s="3">
        <f t="shared" si="3"/>
        <v>-7802.2699999999604</v>
      </c>
      <c r="M34" s="3">
        <f t="shared" si="3"/>
        <v>-15852.479999999923</v>
      </c>
      <c r="N34" s="3">
        <f>N32-N31</f>
        <v>-15852.469999999739</v>
      </c>
    </row>
    <row r="36" spans="1:14" ht="18.75" customHeight="1" x14ac:dyDescent="0.3">
      <c r="A36" s="2" t="s">
        <v>39</v>
      </c>
      <c r="N36" s="3">
        <v>2056428.45</v>
      </c>
    </row>
  </sheetData>
  <printOptions gridLines="1"/>
  <pageMargins left="0.2" right="0.2" top="0.75" bottom="0.75" header="0.3" footer="0.3"/>
  <pageSetup paperSize="5" scale="63" fitToHeight="0" orientation="landscape" verticalDpi="1200" r:id="rId1"/>
  <headerFooter>
    <oddHeader>&amp;C&amp;F
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FE6B-12D1-4616-B01A-30A0C9A80A81}">
  <sheetPr>
    <pageSetUpPr fitToPage="1"/>
  </sheetPr>
  <dimension ref="A1:N36"/>
  <sheetViews>
    <sheetView workbookViewId="0">
      <pane ySplit="1" topLeftCell="A2" activePane="bottomLeft" state="frozen"/>
      <selection pane="bottomLeft" activeCell="A19" sqref="A19"/>
    </sheetView>
  </sheetViews>
  <sheetFormatPr defaultColWidth="9.1796875" defaultRowHeight="18.75" customHeight="1" x14ac:dyDescent="0.3"/>
  <cols>
    <col min="1" max="1" width="29" style="2" customWidth="1"/>
    <col min="2" max="2" width="17.81640625" style="2" customWidth="1"/>
    <col min="3" max="3" width="20.81640625" style="2" bestFit="1" customWidth="1"/>
    <col min="4" max="4" width="19.453125" style="2" bestFit="1" customWidth="1"/>
    <col min="5" max="5" width="21.54296875" style="2" bestFit="1" customWidth="1"/>
    <col min="6" max="6" width="24.7265625" style="2" bestFit="1" customWidth="1"/>
    <col min="7" max="7" width="17.81640625" style="2" customWidth="1"/>
    <col min="8" max="8" width="25.7265625" style="2" customWidth="1"/>
    <col min="9" max="9" width="17.81640625" style="2" customWidth="1"/>
    <col min="10" max="10" width="22.453125" style="2" bestFit="1" customWidth="1"/>
    <col min="11" max="11" width="25.1796875" style="2" customWidth="1"/>
    <col min="12" max="12" width="20.26953125" style="2" bestFit="1" customWidth="1"/>
    <col min="13" max="14" width="17.81640625" style="2" customWidth="1"/>
    <col min="15" max="16384" width="9.1796875" style="2"/>
  </cols>
  <sheetData>
    <row r="1" spans="1:14" ht="18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8.75" customHeight="1" x14ac:dyDescent="0.3">
      <c r="A2" s="2" t="s">
        <v>13</v>
      </c>
      <c r="B2" s="3">
        <v>21650</v>
      </c>
      <c r="C2" s="3">
        <v>55250</v>
      </c>
      <c r="D2" s="3">
        <v>80250</v>
      </c>
      <c r="E2" s="3">
        <v>141000</v>
      </c>
      <c r="F2" s="3">
        <v>60050</v>
      </c>
      <c r="G2" s="3">
        <v>8500</v>
      </c>
      <c r="H2" s="3">
        <v>131250</v>
      </c>
      <c r="I2" s="3">
        <v>76750</v>
      </c>
      <c r="J2" s="3">
        <v>42900</v>
      </c>
      <c r="K2" s="3">
        <v>129900</v>
      </c>
      <c r="L2" s="3">
        <v>103600</v>
      </c>
      <c r="M2" s="3">
        <v>252450</v>
      </c>
      <c r="N2" s="3">
        <f>SUM(B2:M2)</f>
        <v>1103550</v>
      </c>
    </row>
    <row r="3" spans="1:14" ht="18.75" customHeight="1" x14ac:dyDescent="0.3">
      <c r="A3" s="4" t="s">
        <v>34</v>
      </c>
      <c r="B3" s="5">
        <v>44892.77</v>
      </c>
      <c r="C3" s="5">
        <v>66073.740000000005</v>
      </c>
      <c r="D3" s="5">
        <v>78462.759999999995</v>
      </c>
      <c r="E3" s="5">
        <v>155226.23999999999</v>
      </c>
      <c r="F3" s="5">
        <v>9860.7800000000007</v>
      </c>
      <c r="G3" s="5">
        <v>31127.54</v>
      </c>
      <c r="H3" s="5">
        <v>89125.51</v>
      </c>
      <c r="I3" s="3">
        <v>76250</v>
      </c>
      <c r="J3" s="3">
        <v>32900</v>
      </c>
      <c r="K3" s="3">
        <f>109900+125000-50000+40000+25000</f>
        <v>249900</v>
      </c>
      <c r="L3" s="3">
        <v>83100</v>
      </c>
      <c r="M3" s="3">
        <f>117450</f>
        <v>117450</v>
      </c>
      <c r="N3" s="3">
        <f>SUM(B3:M3)</f>
        <v>1034369.3400000001</v>
      </c>
    </row>
    <row r="4" spans="1:14" ht="18.75" customHeight="1" x14ac:dyDescent="0.3">
      <c r="B4" s="4" t="s">
        <v>61</v>
      </c>
      <c r="D4" s="4" t="s">
        <v>69</v>
      </c>
      <c r="E4" s="6" t="s">
        <v>70</v>
      </c>
      <c r="G4" s="4" t="s">
        <v>73</v>
      </c>
      <c r="H4" s="6" t="s">
        <v>20</v>
      </c>
      <c r="I4" s="7" t="s">
        <v>52</v>
      </c>
      <c r="J4" s="9" t="s">
        <v>55</v>
      </c>
      <c r="K4" s="8" t="s">
        <v>40</v>
      </c>
      <c r="L4" s="7" t="s">
        <v>27</v>
      </c>
      <c r="M4" s="7" t="s">
        <v>28</v>
      </c>
    </row>
    <row r="5" spans="1:14" ht="18.75" customHeight="1" x14ac:dyDescent="0.3">
      <c r="D5" s="6" t="s">
        <v>64</v>
      </c>
      <c r="E5" s="4" t="s">
        <v>80</v>
      </c>
      <c r="H5" s="6" t="s">
        <v>30</v>
      </c>
      <c r="K5" s="8" t="s">
        <v>41</v>
      </c>
      <c r="L5" s="7" t="s">
        <v>18</v>
      </c>
      <c r="M5" s="9" t="s">
        <v>49</v>
      </c>
    </row>
    <row r="6" spans="1:14" ht="18.75" customHeight="1" x14ac:dyDescent="0.3">
      <c r="D6" s="4" t="s">
        <v>65</v>
      </c>
      <c r="E6" s="6" t="s">
        <v>71</v>
      </c>
      <c r="H6" s="9" t="s">
        <v>46</v>
      </c>
      <c r="K6" s="8" t="s">
        <v>56</v>
      </c>
      <c r="L6" s="2" t="s">
        <v>29</v>
      </c>
      <c r="M6" s="9" t="s">
        <v>50</v>
      </c>
    </row>
    <row r="7" spans="1:14" ht="18.75" customHeight="1" x14ac:dyDescent="0.3">
      <c r="D7" s="4" t="s">
        <v>67</v>
      </c>
      <c r="H7" s="9" t="s">
        <v>81</v>
      </c>
      <c r="K7" s="8" t="s">
        <v>42</v>
      </c>
      <c r="L7" s="7" t="s">
        <v>19</v>
      </c>
    </row>
    <row r="8" spans="1:14" ht="18.75" customHeight="1" x14ac:dyDescent="0.3">
      <c r="D8" s="4" t="s">
        <v>68</v>
      </c>
      <c r="H8" s="9" t="s">
        <v>45</v>
      </c>
      <c r="K8" s="9" t="s">
        <v>47</v>
      </c>
      <c r="L8" s="9" t="s">
        <v>48</v>
      </c>
    </row>
    <row r="9" spans="1:14" ht="18.75" customHeight="1" x14ac:dyDescent="0.3">
      <c r="H9" s="9" t="s">
        <v>51</v>
      </c>
      <c r="K9" s="9" t="s">
        <v>54</v>
      </c>
      <c r="L9" s="9" t="s">
        <v>53</v>
      </c>
    </row>
    <row r="10" spans="1:14" ht="18.75" customHeight="1" x14ac:dyDescent="0.3">
      <c r="A10" s="2" t="s">
        <v>14</v>
      </c>
      <c r="B10" s="3">
        <v>35916.67</v>
      </c>
      <c r="C10" s="3">
        <v>51266.67</v>
      </c>
      <c r="D10" s="3">
        <v>22916.67</v>
      </c>
      <c r="E10" s="3">
        <v>50416.67</v>
      </c>
      <c r="F10" s="3">
        <v>40416.67</v>
      </c>
      <c r="G10" s="3">
        <v>10416.67</v>
      </c>
      <c r="H10" s="3">
        <v>20416.669999999998</v>
      </c>
      <c r="I10" s="3">
        <v>10416.67</v>
      </c>
      <c r="J10" s="3">
        <v>22416.66</v>
      </c>
      <c r="K10" s="3">
        <v>10416.66</v>
      </c>
      <c r="L10" s="3">
        <v>10416.66</v>
      </c>
      <c r="M10" s="3">
        <v>42153.16</v>
      </c>
      <c r="N10" s="3">
        <f>SUM(B10:M10)</f>
        <v>327586.5</v>
      </c>
    </row>
    <row r="11" spans="1:14" ht="18.75" customHeight="1" x14ac:dyDescent="0.3">
      <c r="A11" s="4" t="s">
        <v>35</v>
      </c>
      <c r="B11" s="5">
        <v>40516.67</v>
      </c>
      <c r="C11" s="5">
        <v>51066.67</v>
      </c>
      <c r="D11" s="5">
        <v>34027.67</v>
      </c>
      <c r="E11" s="5">
        <v>57916.67</v>
      </c>
      <c r="F11" s="5">
        <v>40416.67</v>
      </c>
      <c r="G11" s="5">
        <v>29140.7</v>
      </c>
      <c r="H11" s="5">
        <v>19696.349999999999</v>
      </c>
      <c r="I11" s="3">
        <v>10416.67</v>
      </c>
      <c r="J11" s="3">
        <v>32416.66</v>
      </c>
      <c r="K11" s="3">
        <v>10416.66</v>
      </c>
      <c r="L11" s="3">
        <f>10416.66-10416.66</f>
        <v>0</v>
      </c>
      <c r="M11" s="3">
        <f>42153.16-10416.66</f>
        <v>31736.500000000004</v>
      </c>
      <c r="N11" s="3">
        <f>SUM(B11:M11)</f>
        <v>357767.8899999999</v>
      </c>
    </row>
    <row r="12" spans="1:14" ht="18.75" customHeight="1" x14ac:dyDescent="0.3">
      <c r="B12" s="4" t="s">
        <v>78</v>
      </c>
      <c r="C12" s="4" t="s">
        <v>74</v>
      </c>
      <c r="D12" s="4" t="s">
        <v>75</v>
      </c>
      <c r="E12" s="4" t="s">
        <v>41</v>
      </c>
      <c r="F12" s="4" t="s">
        <v>77</v>
      </c>
      <c r="G12" s="4" t="s">
        <v>74</v>
      </c>
      <c r="H12" s="4" t="s">
        <v>74</v>
      </c>
      <c r="I12" s="2" t="s">
        <v>74</v>
      </c>
      <c r="J12" s="2" t="s">
        <v>74</v>
      </c>
      <c r="K12" s="2" t="s">
        <v>74</v>
      </c>
      <c r="M12" s="7" t="s">
        <v>21</v>
      </c>
    </row>
    <row r="13" spans="1:14" ht="18.75" customHeight="1" x14ac:dyDescent="0.3">
      <c r="B13" s="4" t="s">
        <v>74</v>
      </c>
      <c r="C13" s="4" t="s">
        <v>79</v>
      </c>
      <c r="D13" s="4" t="s">
        <v>74</v>
      </c>
      <c r="E13" s="4" t="s">
        <v>74</v>
      </c>
      <c r="F13" s="4" t="s">
        <v>74</v>
      </c>
      <c r="J13" s="2" t="s">
        <v>25</v>
      </c>
      <c r="L13" s="7"/>
    </row>
    <row r="14" spans="1:14" ht="18.75" customHeight="1" x14ac:dyDescent="0.3">
      <c r="B14" s="6"/>
      <c r="C14" s="6" t="s">
        <v>76</v>
      </c>
      <c r="J14" s="2" t="s">
        <v>24</v>
      </c>
      <c r="M14" s="7"/>
    </row>
    <row r="15" spans="1:14" ht="18.75" customHeight="1" x14ac:dyDescent="0.3">
      <c r="B15" s="6"/>
      <c r="C15" s="6"/>
    </row>
    <row r="16" spans="1:14" ht="18.75" customHeight="1" x14ac:dyDescent="0.3">
      <c r="B16" s="6"/>
      <c r="C16" s="6"/>
    </row>
    <row r="17" spans="1:14" ht="18.75" customHeight="1" x14ac:dyDescent="0.3">
      <c r="A17" s="2" t="s">
        <v>15</v>
      </c>
      <c r="B17" s="3">
        <v>-1105.29</v>
      </c>
      <c r="C17" s="3">
        <v>10019.75</v>
      </c>
      <c r="D17" s="3">
        <v>51904.79</v>
      </c>
      <c r="E17" s="3">
        <f>26000+46618</f>
        <v>72618</v>
      </c>
      <c r="F17" s="3">
        <f>-13450+661.03</f>
        <v>-12788.97</v>
      </c>
      <c r="G17" s="3">
        <f>-7680+5616.72</f>
        <v>-2063.2799999999997</v>
      </c>
      <c r="H17" s="3">
        <f>-3320-43577.84</f>
        <v>-46897.84</v>
      </c>
      <c r="I17" s="3">
        <f>-1680-4935.91</f>
        <v>-6615.91</v>
      </c>
      <c r="J17" s="3">
        <v>19500</v>
      </c>
      <c r="K17" s="3">
        <f>-3845+1406</f>
        <v>-2439</v>
      </c>
      <c r="L17" s="3">
        <f>3500+1406</f>
        <v>4906</v>
      </c>
      <c r="M17" s="3">
        <f>3500+1406</f>
        <v>4906</v>
      </c>
      <c r="N17" s="3">
        <f>SUM(B17:M17)</f>
        <v>91944.25</v>
      </c>
    </row>
    <row r="18" spans="1:14" ht="18.75" customHeight="1" x14ac:dyDescent="0.3">
      <c r="A18" s="4" t="s">
        <v>36</v>
      </c>
      <c r="B18" s="5">
        <v>17165.599999999999</v>
      </c>
      <c r="C18" s="5">
        <f>56532.78+5000</f>
        <v>61532.78</v>
      </c>
      <c r="D18" s="5">
        <f>-4433.79-425</f>
        <v>-4858.79</v>
      </c>
      <c r="E18" s="5">
        <f>14700.56+2365.25</f>
        <v>17065.809999999998</v>
      </c>
      <c r="F18" s="5">
        <f>5332.12-456.38</f>
        <v>4875.74</v>
      </c>
      <c r="G18" s="5">
        <f>-4929.38+217.86</f>
        <v>-4711.5200000000004</v>
      </c>
      <c r="H18" s="5">
        <f>-12083.85-16948.29</f>
        <v>-29032.14</v>
      </c>
      <c r="I18" s="3">
        <f>-1680+20064.09</f>
        <v>18384.09</v>
      </c>
      <c r="J18" s="3">
        <v>18000</v>
      </c>
      <c r="K18" s="3">
        <f>-3845+1406</f>
        <v>-2439</v>
      </c>
      <c r="L18" s="3">
        <f>3500+1406</f>
        <v>4906</v>
      </c>
      <c r="M18" s="3">
        <f>13500+1406</f>
        <v>14906</v>
      </c>
      <c r="N18" s="3">
        <f>SUM(B18:M18)</f>
        <v>115794.57</v>
      </c>
    </row>
    <row r="19" spans="1:14" ht="18.75" customHeight="1" x14ac:dyDescent="0.3">
      <c r="A19" s="7" t="s">
        <v>31</v>
      </c>
      <c r="I19" s="7" t="s">
        <v>32</v>
      </c>
      <c r="M19" s="2" t="s">
        <v>38</v>
      </c>
    </row>
    <row r="20" spans="1:14" ht="18.75" customHeight="1" x14ac:dyDescent="0.3">
      <c r="C20" s="6" t="s">
        <v>62</v>
      </c>
      <c r="D20" s="4" t="s">
        <v>66</v>
      </c>
      <c r="E20" s="6" t="s">
        <v>72</v>
      </c>
    </row>
    <row r="21" spans="1:14" ht="18.75" customHeight="1" x14ac:dyDescent="0.3">
      <c r="C21" s="6" t="s">
        <v>63</v>
      </c>
      <c r="F21" s="7"/>
    </row>
    <row r="22" spans="1:14" ht="18.75" customHeight="1" x14ac:dyDescent="0.3">
      <c r="C22" s="6"/>
      <c r="F22" s="7"/>
    </row>
    <row r="23" spans="1:14" ht="18.75" customHeight="1" x14ac:dyDescent="0.3">
      <c r="A23" s="2" t="s">
        <v>43</v>
      </c>
      <c r="B23" s="3">
        <v>34636.06</v>
      </c>
      <c r="C23" s="3">
        <v>35257.480000000003</v>
      </c>
      <c r="D23" s="3">
        <v>35257.480000000003</v>
      </c>
      <c r="E23" s="3">
        <v>35257.480000000003</v>
      </c>
      <c r="F23" s="3">
        <v>18749.66</v>
      </c>
      <c r="G23" s="3">
        <v>18749.66</v>
      </c>
      <c r="H23" s="3">
        <v>18749.66</v>
      </c>
      <c r="I23" s="3">
        <v>18749.66</v>
      </c>
      <c r="J23" s="3">
        <v>18749.66</v>
      </c>
      <c r="K23" s="3">
        <v>18749.650000000001</v>
      </c>
      <c r="L23" s="3">
        <v>17506.810000000001</v>
      </c>
      <c r="M23" s="3">
        <v>81468.23</v>
      </c>
      <c r="N23" s="3">
        <v>351881.48</v>
      </c>
    </row>
    <row r="24" spans="1:14" ht="18.75" customHeight="1" x14ac:dyDescent="0.3">
      <c r="A24" s="2" t="s">
        <v>44</v>
      </c>
      <c r="B24" s="5">
        <v>26721.06</v>
      </c>
      <c r="C24" s="5">
        <v>27342.48</v>
      </c>
      <c r="D24" s="5">
        <v>27342.48</v>
      </c>
      <c r="E24" s="5">
        <v>30881.52</v>
      </c>
      <c r="F24" s="5">
        <v>53064.08</v>
      </c>
      <c r="G24" s="5">
        <v>29949.89</v>
      </c>
      <c r="H24" s="5">
        <v>29389.29</v>
      </c>
      <c r="I24" s="3">
        <v>16852.599999999999</v>
      </c>
      <c r="J24" s="3">
        <v>16952.599999999999</v>
      </c>
      <c r="K24" s="3">
        <v>17352.599999999999</v>
      </c>
      <c r="L24" s="3">
        <v>16078.02</v>
      </c>
      <c r="M24" s="3">
        <v>79418.02</v>
      </c>
      <c r="N24" s="3">
        <f>SUM(B24:M24)</f>
        <v>371344.64000000007</v>
      </c>
    </row>
    <row r="25" spans="1:14" ht="18.75" customHeight="1" x14ac:dyDescent="0.3">
      <c r="F25" s="7"/>
    </row>
    <row r="27" spans="1:14" ht="18.75" customHeight="1" x14ac:dyDescent="0.3">
      <c r="A27" s="2" t="s">
        <v>16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375000</v>
      </c>
      <c r="M27" s="3">
        <v>0</v>
      </c>
      <c r="N27" s="3">
        <f>SUM(B27:M27)</f>
        <v>375000</v>
      </c>
    </row>
    <row r="28" spans="1:14" ht="18.75" customHeight="1" x14ac:dyDescent="0.3">
      <c r="A28" s="4" t="s">
        <v>17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3">
        <v>0</v>
      </c>
      <c r="I28" s="3">
        <v>0</v>
      </c>
      <c r="J28" s="3">
        <v>0</v>
      </c>
      <c r="K28" s="3"/>
      <c r="L28" s="3">
        <v>375000</v>
      </c>
      <c r="M28" s="3">
        <v>0</v>
      </c>
      <c r="N28" s="3">
        <f>SUM(B28:M28)</f>
        <v>375000</v>
      </c>
    </row>
    <row r="31" spans="1:14" ht="18.75" customHeight="1" x14ac:dyDescent="0.3">
      <c r="A31" s="2" t="s">
        <v>26</v>
      </c>
      <c r="B31" s="3">
        <f t="shared" ref="B31:G32" si="0">B27+B17+B10+B2+B23</f>
        <v>91097.44</v>
      </c>
      <c r="C31" s="3">
        <f t="shared" si="0"/>
        <v>151793.9</v>
      </c>
      <c r="D31" s="3">
        <f t="shared" si="0"/>
        <v>190328.94</v>
      </c>
      <c r="E31" s="3">
        <f t="shared" si="0"/>
        <v>299292.14999999997</v>
      </c>
      <c r="F31" s="3">
        <f t="shared" si="0"/>
        <v>106427.36</v>
      </c>
      <c r="G31" s="3">
        <f t="shared" si="0"/>
        <v>35603.050000000003</v>
      </c>
      <c r="H31" s="3">
        <f t="shared" ref="H31:L31" si="1">H27+H17+H10+H2+H23</f>
        <v>123518.49</v>
      </c>
      <c r="I31" s="3">
        <f t="shared" si="1"/>
        <v>99300.42</v>
      </c>
      <c r="J31" s="3">
        <f t="shared" si="1"/>
        <v>103566.32</v>
      </c>
      <c r="K31" s="3">
        <f t="shared" si="1"/>
        <v>156627.31</v>
      </c>
      <c r="L31" s="3">
        <f t="shared" si="1"/>
        <v>511429.47</v>
      </c>
      <c r="M31" s="3">
        <f>M27+M17+M10+M2+M23</f>
        <v>380977.39</v>
      </c>
      <c r="N31" s="3">
        <f>N27+N17+N10+N2+N23</f>
        <v>2249962.23</v>
      </c>
    </row>
    <row r="32" spans="1:14" ht="18.75" customHeight="1" x14ac:dyDescent="0.3">
      <c r="A32" s="2" t="s">
        <v>37</v>
      </c>
      <c r="B32" s="5">
        <f t="shared" si="0"/>
        <v>129296.09999999999</v>
      </c>
      <c r="C32" s="5">
        <f t="shared" si="0"/>
        <v>206015.67</v>
      </c>
      <c r="D32" s="5">
        <f t="shared" si="0"/>
        <v>134974.12</v>
      </c>
      <c r="E32" s="5">
        <f t="shared" si="0"/>
        <v>261090.23999999996</v>
      </c>
      <c r="F32" s="5">
        <f t="shared" si="0"/>
        <v>108217.26999999999</v>
      </c>
      <c r="G32" s="5">
        <f t="shared" si="0"/>
        <v>85506.61</v>
      </c>
      <c r="H32" s="5">
        <f t="shared" ref="H32:M32" si="2">H28+H18+H11+H3+H24</f>
        <v>109179.01000000001</v>
      </c>
      <c r="I32" s="3">
        <f t="shared" si="2"/>
        <v>121903.36000000002</v>
      </c>
      <c r="J32" s="3">
        <f t="shared" si="2"/>
        <v>100269.26000000001</v>
      </c>
      <c r="K32" s="3">
        <f t="shared" si="2"/>
        <v>275230.26</v>
      </c>
      <c r="L32" s="3">
        <f t="shared" si="2"/>
        <v>479084.02</v>
      </c>
      <c r="M32" s="3">
        <f t="shared" si="2"/>
        <v>243510.52000000002</v>
      </c>
      <c r="N32" s="3">
        <f>SUM(B32:M32)</f>
        <v>2254276.4400000004</v>
      </c>
    </row>
    <row r="34" spans="1:14" ht="18.75" customHeight="1" x14ac:dyDescent="0.3">
      <c r="A34" s="2" t="s">
        <v>33</v>
      </c>
      <c r="B34" s="3">
        <f>B32-B31</f>
        <v>38198.659999999989</v>
      </c>
      <c r="C34" s="3">
        <f>C32-C31+B34</f>
        <v>92420.430000000008</v>
      </c>
      <c r="D34" s="3">
        <f>D32-D31+C34</f>
        <v>37065.61</v>
      </c>
      <c r="E34" s="3">
        <f>E32-E31+D34</f>
        <v>-1136.3000000000029</v>
      </c>
      <c r="F34" s="3">
        <f>F32-F31+E34</f>
        <v>653.60999999998603</v>
      </c>
      <c r="G34" s="3">
        <f>G32-G31+F34</f>
        <v>50557.169999999984</v>
      </c>
      <c r="H34" s="3">
        <f t="shared" ref="H34:M34" si="3">H32-H31+G34</f>
        <v>36217.689999999988</v>
      </c>
      <c r="I34" s="3">
        <f t="shared" si="3"/>
        <v>58820.630000000005</v>
      </c>
      <c r="J34" s="3">
        <f t="shared" si="3"/>
        <v>55523.570000000007</v>
      </c>
      <c r="K34" s="3">
        <f t="shared" si="3"/>
        <v>174126.52000000002</v>
      </c>
      <c r="L34" s="3">
        <f t="shared" si="3"/>
        <v>141781.07000000007</v>
      </c>
      <c r="M34" s="3">
        <f t="shared" si="3"/>
        <v>4314.2000000000698</v>
      </c>
      <c r="N34" s="3">
        <f>N32-N31</f>
        <v>4314.2100000004284</v>
      </c>
    </row>
    <row r="36" spans="1:14" ht="18.75" customHeight="1" x14ac:dyDescent="0.3">
      <c r="A36" s="2" t="s">
        <v>39</v>
      </c>
      <c r="N36" s="3">
        <v>2056428.45</v>
      </c>
    </row>
  </sheetData>
  <printOptions gridLines="1"/>
  <pageMargins left="0.2" right="0.2" top="0.75" bottom="0.75" header="0.3" footer="0.3"/>
  <pageSetup paperSize="5" scale="63" fitToHeight="0" orientation="landscape" verticalDpi="1200" r:id="rId1"/>
  <headerFooter>
    <oddHeader>&amp;C&amp;F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7.10 update</vt:lpstr>
      <vt:lpstr>7.10 summary</vt:lpstr>
      <vt:lpstr>Final</vt:lpstr>
      <vt:lpstr>Option 1</vt:lpstr>
      <vt:lpstr>Option 2</vt:lpstr>
      <vt:lpstr>Option 3</vt:lpstr>
      <vt:lpstr>'7.10 update'!Print_Area</vt:lpstr>
      <vt:lpstr>Final!Print_Area</vt:lpstr>
      <vt:lpstr>'Option 1'!Print_Area</vt:lpstr>
      <vt:lpstr>'Option 2'!Print_Area</vt:lpstr>
      <vt:lpstr>'Option 3'!Print_Area</vt:lpstr>
      <vt:lpstr>'7.10 update'!Print_Titles</vt:lpstr>
      <vt:lpstr>Final!Print_Titles</vt:lpstr>
      <vt:lpstr>'Option 1'!Print_Titles</vt:lpstr>
      <vt:lpstr>'Option 2'!Print_Titles</vt:lpstr>
      <vt:lpstr>'Option 3'!Print_Titles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JoshWright</dc:creator>
  <cp:lastModifiedBy>Piaskoski, Shana</cp:lastModifiedBy>
  <cp:lastPrinted>2019-07-08T19:31:55Z</cp:lastPrinted>
  <dcterms:created xsi:type="dcterms:W3CDTF">2018-07-26T03:09:16Z</dcterms:created>
  <dcterms:modified xsi:type="dcterms:W3CDTF">2019-07-19T16:58:55Z</dcterms:modified>
</cp:coreProperties>
</file>